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Projetos Convexa\VÁRZEA GRANDE - EVVIA\PROJETOS EM ANDAMENTO_VG\6 - Bairro Parque Del Rey\"/>
    </mc:Choice>
  </mc:AlternateContent>
  <bookViews>
    <workbookView xWindow="0" yWindow="0" windowWidth="13710" windowHeight="11400" tabRatio="754" activeTab="2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TERRAP E PAVIM" sheetId="19" r:id="rId6"/>
    <sheet name="BDI" sheetId="22" r:id="rId7"/>
    <sheet name="BDI DIFERENCIADO" sheetId="33" r:id="rId8"/>
    <sheet name="SN HORIZ" sheetId="43" r:id="rId9"/>
    <sheet name="SN VERT" sheetId="44" r:id="rId10"/>
    <sheet name="COMP." sheetId="41" r:id="rId11"/>
    <sheet name="REAJUSTAMENTO" sheetId="40" r:id="rId12"/>
  </sheets>
  <definedNames>
    <definedName name="_xlnm.Print_Area" localSheetId="10">COMP.!$B$2:$V$382</definedName>
    <definedName name="_xlnm.Print_Area" localSheetId="2">'ORÇA '!$A$1:$J$57</definedName>
    <definedName name="_xlnm.Print_Area" localSheetId="1">QUANT!$C$2:$G$55</definedName>
    <definedName name="_xlnm.Print_Area" localSheetId="3">TRANSP!#REF!</definedName>
    <definedName name="_xlnm.Print_Titles" localSheetId="2">'ORÇA '!$1:$8</definedName>
    <definedName name="_xlnm.Print_Titles" localSheetId="1">QUANT!$2:$7</definedName>
    <definedName name="Z_E8D46A29_8D28_49CA_936A_9705D639E1C7_.wvu.PrintArea" localSheetId="2" hidden="1">'ORÇA '!$B$1:$J$55</definedName>
  </definedNames>
  <calcPr calcId="162913"/>
  <customWorkbookViews>
    <customWorkbookView name="PENTIUM - Modo de exibição pessoal" guid="{96D85DE4-FE1B-11D2-8AAF-0040C72A12C5}" mergeInterval="0" personalView="1" maximized="1" windowWidth="796" windowHeight="411" tabRatio="857" activeSheetId="3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Máquina2 - Modo de exibição pessoal" guid="{F1F53240-5C6B-11D2-88BD-0040C72A12C5}" mergeInterval="0" personalView="1" maximized="1" windowWidth="796" windowHeight="411" tabRatio="857" activeSheetId="5"/>
    <customWorkbookView name="&lt;: - Modo de exibição pessoal" guid="{AFF92C80-53BE-11D2-88E1-0040C72A12C5}" mergeInterval="0" personalView="1" maximized="1" windowWidth="796" windowHeight="40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joão - Modo de exibição pessoal" guid="{E8D46A29-8D28-49CA-936A-9705D639E1C7}" mergeInterval="0" personalView="1" maximized="1" xWindow="1" yWindow="1" windowWidth="1600" windowHeight="610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2" l="1"/>
  <c r="G54" i="2"/>
  <c r="G48" i="2"/>
  <c r="G47" i="2"/>
  <c r="G46" i="2"/>
  <c r="E61" i="44"/>
  <c r="F69" i="44"/>
  <c r="E58" i="44"/>
  <c r="E55" i="44"/>
  <c r="E51" i="44"/>
  <c r="E47" i="44"/>
  <c r="E43" i="44"/>
  <c r="E39" i="44"/>
  <c r="E35" i="44"/>
  <c r="E31" i="44"/>
  <c r="E27" i="44"/>
  <c r="E23" i="44"/>
  <c r="E19" i="44"/>
  <c r="E15" i="44"/>
  <c r="E11" i="44"/>
  <c r="E7" i="44"/>
  <c r="E72" i="43"/>
  <c r="E71" i="43"/>
  <c r="E68" i="43"/>
  <c r="E67" i="43"/>
  <c r="C64" i="43"/>
  <c r="E64" i="43" s="1"/>
  <c r="E60" i="43"/>
  <c r="E59" i="43"/>
  <c r="E58" i="43"/>
  <c r="E55" i="43"/>
  <c r="E54" i="43"/>
  <c r="C51" i="43"/>
  <c r="E51" i="43" s="1"/>
  <c r="E47" i="43"/>
  <c r="E46" i="43"/>
  <c r="E45" i="43"/>
  <c r="E79" i="43" s="1"/>
  <c r="E81" i="43" s="1"/>
  <c r="E42" i="43"/>
  <c r="E41" i="43"/>
  <c r="C38" i="43"/>
  <c r="E38" i="43" s="1"/>
  <c r="E34" i="43"/>
  <c r="E33" i="43"/>
  <c r="E78" i="43" s="1"/>
  <c r="E32" i="43"/>
  <c r="E29" i="43"/>
  <c r="E28" i="43"/>
  <c r="C25" i="43"/>
  <c r="E25" i="43" s="1"/>
  <c r="E21" i="43"/>
  <c r="E20" i="43"/>
  <c r="E19" i="43"/>
  <c r="E18" i="43"/>
  <c r="E17" i="43"/>
  <c r="E16" i="43"/>
  <c r="E15" i="43"/>
  <c r="E14" i="43"/>
  <c r="E11" i="43"/>
  <c r="E76" i="43" s="1"/>
  <c r="E10" i="43"/>
  <c r="E77" i="43" s="1"/>
  <c r="C7" i="43"/>
  <c r="E7" i="43" s="1"/>
  <c r="E85" i="43" l="1"/>
  <c r="E75" i="43"/>
  <c r="E80" i="43" s="1"/>
  <c r="E82" i="43" s="1"/>
  <c r="X16" i="19"/>
  <c r="X19" i="19"/>
  <c r="X7" i="19"/>
  <c r="I22" i="19"/>
  <c r="X10" i="19"/>
  <c r="X13" i="19"/>
  <c r="O20" i="19"/>
  <c r="X20" i="19"/>
  <c r="I24" i="19" l="1"/>
  <c r="I20" i="19"/>
  <c r="O8" i="19" l="1"/>
  <c r="P22" i="19"/>
  <c r="G49" i="2" l="1"/>
  <c r="I21" i="3" l="1"/>
  <c r="O17" i="19"/>
  <c r="V20" i="19"/>
  <c r="U20" i="19"/>
  <c r="W20" i="19" s="1"/>
  <c r="T20" i="19"/>
  <c r="S20" i="19"/>
  <c r="Q20" i="19"/>
  <c r="N20" i="19"/>
  <c r="I19" i="19"/>
  <c r="T19" i="19" s="1"/>
  <c r="X17" i="19"/>
  <c r="V17" i="19"/>
  <c r="U17" i="19"/>
  <c r="W17" i="19" s="1"/>
  <c r="T17" i="19"/>
  <c r="S17" i="19"/>
  <c r="Q17" i="19"/>
  <c r="N17" i="19"/>
  <c r="I16" i="19"/>
  <c r="U16" i="19" s="1"/>
  <c r="W16" i="19" s="1"/>
  <c r="X14" i="19"/>
  <c r="V14" i="19"/>
  <c r="U14" i="19"/>
  <c r="W14" i="19" s="1"/>
  <c r="T14" i="19"/>
  <c r="S14" i="19"/>
  <c r="Q14" i="19"/>
  <c r="O14" i="19"/>
  <c r="N14" i="19"/>
  <c r="I13" i="19"/>
  <c r="V13" i="19" s="1"/>
  <c r="X11" i="19"/>
  <c r="V11" i="19"/>
  <c r="U11" i="19"/>
  <c r="W11" i="19" s="1"/>
  <c r="T11" i="19"/>
  <c r="S11" i="19"/>
  <c r="Q11" i="19"/>
  <c r="O11" i="19"/>
  <c r="N11" i="19"/>
  <c r="I10" i="19"/>
  <c r="X8" i="19"/>
  <c r="V8" i="19"/>
  <c r="U8" i="19"/>
  <c r="W8" i="19" s="1"/>
  <c r="T8" i="19"/>
  <c r="S8" i="19"/>
  <c r="Q8" i="19"/>
  <c r="N8" i="19"/>
  <c r="I7" i="19"/>
  <c r="N7" i="19" s="1"/>
  <c r="B6" i="19"/>
  <c r="V19" i="19" l="1"/>
  <c r="V16" i="19"/>
  <c r="U19" i="19"/>
  <c r="W19" i="19" s="1"/>
  <c r="Q10" i="19"/>
  <c r="Q7" i="19"/>
  <c r="N10" i="19"/>
  <c r="S7" i="19"/>
  <c r="S10" i="19"/>
  <c r="U7" i="19"/>
  <c r="W7" i="19" s="1"/>
  <c r="T10" i="19"/>
  <c r="T7" i="19"/>
  <c r="N13" i="19"/>
  <c r="Q13" i="19"/>
  <c r="V7" i="19"/>
  <c r="U10" i="19"/>
  <c r="W10" i="19" s="1"/>
  <c r="S13" i="19"/>
  <c r="N16" i="19"/>
  <c r="V10" i="19"/>
  <c r="T13" i="19"/>
  <c r="Q16" i="19"/>
  <c r="N19" i="19"/>
  <c r="U13" i="19"/>
  <c r="W13" i="19" s="1"/>
  <c r="S16" i="19"/>
  <c r="Q19" i="19"/>
  <c r="T16" i="19"/>
  <c r="S19" i="19"/>
  <c r="S372" i="41" l="1"/>
  <c r="S373" i="41"/>
  <c r="S371" i="41"/>
  <c r="S352" i="41"/>
  <c r="S358" i="41" s="1"/>
  <c r="S360" i="41" s="1"/>
  <c r="S361" i="41" s="1"/>
  <c r="S353" i="41"/>
  <c r="S354" i="41"/>
  <c r="S355" i="41"/>
  <c r="S356" i="41"/>
  <c r="S357" i="41"/>
  <c r="S351" i="41"/>
  <c r="S336" i="41"/>
  <c r="S337" i="41" s="1"/>
  <c r="S339" i="41" s="1"/>
  <c r="S340" i="41" s="1"/>
  <c r="S321" i="41"/>
  <c r="S322" i="41" s="1"/>
  <c r="S324" i="41" s="1"/>
  <c r="S298" i="41"/>
  <c r="S299" i="41"/>
  <c r="S300" i="41"/>
  <c r="S301" i="41"/>
  <c r="S302" i="41"/>
  <c r="S303" i="41"/>
  <c r="S304" i="41"/>
  <c r="S305" i="41"/>
  <c r="S306" i="41"/>
  <c r="S307" i="41"/>
  <c r="S308" i="41" s="1"/>
  <c r="S310" i="41" s="1"/>
  <c r="S311" i="41" s="1"/>
  <c r="S297" i="41"/>
  <c r="S280" i="41"/>
  <c r="S281" i="41"/>
  <c r="S282" i="41"/>
  <c r="S283" i="41"/>
  <c r="S279" i="41"/>
  <c r="S284" i="41" s="1"/>
  <c r="S286" i="41" s="1"/>
  <c r="S259" i="41"/>
  <c r="S260" i="41"/>
  <c r="S261" i="41"/>
  <c r="S262" i="41"/>
  <c r="S263" i="41"/>
  <c r="S264" i="41"/>
  <c r="S265" i="41"/>
  <c r="S258" i="41"/>
  <c r="S246" i="41"/>
  <c r="S248" i="41" s="1"/>
  <c r="S249" i="41" s="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33" i="41"/>
  <c r="S209" i="41"/>
  <c r="S221" i="41" s="1"/>
  <c r="S223" i="41" s="1"/>
  <c r="S224" i="41" s="1"/>
  <c r="S210" i="41"/>
  <c r="S211" i="41"/>
  <c r="S212" i="41"/>
  <c r="S213" i="41"/>
  <c r="S214" i="41"/>
  <c r="S215" i="41"/>
  <c r="S216" i="41"/>
  <c r="S217" i="41"/>
  <c r="S218" i="41"/>
  <c r="S219" i="41"/>
  <c r="S220" i="41"/>
  <c r="S208" i="41"/>
  <c r="S188" i="41"/>
  <c r="S195" i="41" s="1"/>
  <c r="S197" i="41" s="1"/>
  <c r="S189" i="41"/>
  <c r="S190" i="41"/>
  <c r="S191" i="41"/>
  <c r="S192" i="41"/>
  <c r="S193" i="41"/>
  <c r="S194" i="41"/>
  <c r="S187" i="41"/>
  <c r="S173" i="41"/>
  <c r="S175" i="41" s="1"/>
  <c r="S176" i="41" s="1"/>
  <c r="S172" i="41"/>
  <c r="S171" i="41"/>
  <c r="S156" i="41"/>
  <c r="S155" i="41"/>
  <c r="S157" i="41" s="1"/>
  <c r="S159" i="41" s="1"/>
  <c r="S140" i="41"/>
  <c r="S139" i="41"/>
  <c r="S141" i="41" s="1"/>
  <c r="S143" i="41" s="1"/>
  <c r="S144" i="41" s="1"/>
  <c r="S124" i="41"/>
  <c r="S123" i="41"/>
  <c r="S125" i="41" s="1"/>
  <c r="S127" i="41" s="1"/>
  <c r="S42" i="41"/>
  <c r="S43" i="41"/>
  <c r="S44" i="41"/>
  <c r="S45" i="41"/>
  <c r="S46" i="41"/>
  <c r="S47" i="41"/>
  <c r="S41" i="41"/>
  <c r="S26" i="41"/>
  <c r="S27" i="41" s="1"/>
  <c r="S29" i="41" s="1"/>
  <c r="S7" i="41"/>
  <c r="S8" i="41"/>
  <c r="S13" i="41" s="1"/>
  <c r="S15" i="41" s="1"/>
  <c r="S16" i="41" s="1"/>
  <c r="S9" i="41"/>
  <c r="S10" i="41"/>
  <c r="S11" i="41"/>
  <c r="S12" i="41"/>
  <c r="S6" i="41"/>
  <c r="B13" i="4"/>
  <c r="S48" i="41" l="1"/>
  <c r="S50" i="41" s="1"/>
  <c r="S51" i="41" s="1"/>
  <c r="S52" i="41" s="1"/>
  <c r="S128" i="41"/>
  <c r="S129" i="41" s="1"/>
  <c r="S325" i="41"/>
  <c r="S326" i="41" s="1"/>
  <c r="S198" i="41"/>
  <c r="S199" i="41" s="1"/>
  <c r="S160" i="41"/>
  <c r="S161" i="41" s="1"/>
  <c r="S287" i="41"/>
  <c r="S288" i="41" s="1"/>
  <c r="S30" i="41"/>
  <c r="S31" i="41" s="1"/>
  <c r="S374" i="41"/>
  <c r="S376" i="41" s="1"/>
  <c r="S377" i="41" s="1"/>
  <c r="S266" i="41"/>
  <c r="S268" i="41" s="1"/>
  <c r="S17" i="41"/>
  <c r="S177" i="41"/>
  <c r="S362" i="41"/>
  <c r="S341" i="41"/>
  <c r="S312" i="41"/>
  <c r="S250" i="41"/>
  <c r="S225" i="41"/>
  <c r="S145" i="41"/>
  <c r="S378" i="41" l="1"/>
  <c r="S269" i="41"/>
  <c r="S270" i="41" s="1"/>
  <c r="D4" i="4"/>
  <c r="G55" i="4" l="1"/>
  <c r="G47" i="4"/>
  <c r="G44" i="4"/>
  <c r="G41" i="4"/>
  <c r="G40" i="4"/>
  <c r="G39" i="4"/>
  <c r="G38" i="4"/>
  <c r="G37" i="4"/>
  <c r="G36" i="4"/>
  <c r="G34" i="4"/>
  <c r="G31" i="4"/>
  <c r="G26" i="4"/>
  <c r="G25" i="4"/>
  <c r="G22" i="4"/>
  <c r="G16" i="4"/>
  <c r="G12" i="4"/>
  <c r="G10" i="4"/>
  <c r="I8" i="40" l="1"/>
  <c r="I11" i="40" s="1"/>
  <c r="J27" i="40" l="1"/>
  <c r="J25" i="40"/>
  <c r="J23" i="40"/>
  <c r="J17" i="40"/>
  <c r="J21" i="40"/>
  <c r="J15" i="40"/>
  <c r="J13" i="40"/>
  <c r="J19" i="40"/>
  <c r="O84" i="41" l="1"/>
  <c r="S84" i="41" s="1"/>
  <c r="O64" i="41"/>
  <c r="S64" i="41" s="1"/>
  <c r="O105" i="41"/>
  <c r="S105" i="41" s="1"/>
  <c r="O82" i="41"/>
  <c r="S82" i="41" s="1"/>
  <c r="O62" i="41"/>
  <c r="S62" i="41" s="1"/>
  <c r="O103" i="41"/>
  <c r="S103" i="41" s="1"/>
  <c r="O63" i="41"/>
  <c r="S63" i="41" s="1"/>
  <c r="O104" i="41"/>
  <c r="S104" i="41" s="1"/>
  <c r="O83" i="41"/>
  <c r="S83" i="41" s="1"/>
  <c r="O66" i="41"/>
  <c r="S66" i="41" s="1"/>
  <c r="O107" i="41"/>
  <c r="S107" i="41" s="1"/>
  <c r="O86" i="41"/>
  <c r="S86" i="41" s="1"/>
  <c r="O67" i="41"/>
  <c r="S67" i="41" s="1"/>
  <c r="O108" i="41"/>
  <c r="S108" i="41" s="1"/>
  <c r="O87" i="41"/>
  <c r="S87" i="41" s="1"/>
  <c r="O81" i="41"/>
  <c r="S81" i="41" s="1"/>
  <c r="S89" i="41" s="1"/>
  <c r="S91" i="41" s="1"/>
  <c r="O61" i="41"/>
  <c r="S61" i="41" s="1"/>
  <c r="O102" i="41"/>
  <c r="S102" i="41" s="1"/>
  <c r="O65" i="41"/>
  <c r="S65" i="41" s="1"/>
  <c r="O106" i="41"/>
  <c r="S106" i="41" s="1"/>
  <c r="O85" i="41"/>
  <c r="S85" i="41" s="1"/>
  <c r="O109" i="41"/>
  <c r="S109" i="41" s="1"/>
  <c r="O88" i="41"/>
  <c r="S88" i="41" s="1"/>
  <c r="C55" i="4"/>
  <c r="C54" i="4"/>
  <c r="C53" i="4"/>
  <c r="C50" i="4"/>
  <c r="C49" i="4"/>
  <c r="C48" i="4"/>
  <c r="C47" i="4"/>
  <c r="C44" i="4"/>
  <c r="C43" i="4"/>
  <c r="C42" i="4"/>
  <c r="C41" i="4"/>
  <c r="C40" i="4"/>
  <c r="C39" i="4"/>
  <c r="C38" i="4"/>
  <c r="C37" i="4"/>
  <c r="C36" i="4"/>
  <c r="C35" i="4"/>
  <c r="C34" i="4"/>
  <c r="C31" i="4"/>
  <c r="C30" i="4"/>
  <c r="C29" i="4"/>
  <c r="C28" i="4"/>
  <c r="C27" i="4"/>
  <c r="C26" i="4"/>
  <c r="C25" i="4"/>
  <c r="C22" i="4"/>
  <c r="C21" i="4"/>
  <c r="C20" i="4"/>
  <c r="C19" i="4"/>
  <c r="C16" i="4"/>
  <c r="C13" i="4"/>
  <c r="C12" i="4"/>
  <c r="C11" i="4"/>
  <c r="C10" i="4"/>
  <c r="B54" i="4"/>
  <c r="B55" i="4"/>
  <c r="B53" i="4"/>
  <c r="B48" i="4"/>
  <c r="B49" i="4"/>
  <c r="B50" i="4"/>
  <c r="B47" i="4"/>
  <c r="B35" i="4"/>
  <c r="B36" i="4"/>
  <c r="B37" i="4"/>
  <c r="B38" i="4"/>
  <c r="B39" i="4"/>
  <c r="B40" i="4"/>
  <c r="B41" i="4"/>
  <c r="B42" i="4"/>
  <c r="B43" i="4"/>
  <c r="B44" i="4"/>
  <c r="B34" i="4"/>
  <c r="B26" i="4"/>
  <c r="B27" i="4"/>
  <c r="B28" i="4"/>
  <c r="B29" i="4"/>
  <c r="B30" i="4"/>
  <c r="B31" i="4"/>
  <c r="B25" i="4"/>
  <c r="B20" i="4"/>
  <c r="B21" i="4"/>
  <c r="B22" i="4"/>
  <c r="B19" i="4"/>
  <c r="B16" i="4"/>
  <c r="B11" i="4"/>
  <c r="B12" i="4"/>
  <c r="S92" i="41" l="1"/>
  <c r="S93" i="41"/>
  <c r="G20" i="4"/>
  <c r="S110" i="41"/>
  <c r="S112" i="41" s="1"/>
  <c r="S68" i="41"/>
  <c r="S70" i="41" s="1"/>
  <c r="A1" i="4"/>
  <c r="D2" i="4"/>
  <c r="J2" i="4"/>
  <c r="J3" i="4"/>
  <c r="A8" i="4"/>
  <c r="B8" i="4"/>
  <c r="C8" i="4"/>
  <c r="D8" i="4"/>
  <c r="A9" i="4"/>
  <c r="D9" i="4"/>
  <c r="A10" i="4"/>
  <c r="B10" i="4"/>
  <c r="D10" i="4"/>
  <c r="E10" i="4"/>
  <c r="F10" i="4"/>
  <c r="A11" i="4"/>
  <c r="D11" i="4"/>
  <c r="E11" i="4"/>
  <c r="F11" i="4"/>
  <c r="A12" i="4"/>
  <c r="D12" i="4"/>
  <c r="E12" i="4"/>
  <c r="F12" i="4"/>
  <c r="A13" i="4"/>
  <c r="D13" i="4"/>
  <c r="E13" i="4"/>
  <c r="F13" i="4"/>
  <c r="A15" i="4"/>
  <c r="D15" i="4"/>
  <c r="A16" i="4"/>
  <c r="D16" i="4"/>
  <c r="E16" i="4"/>
  <c r="F16" i="4"/>
  <c r="A18" i="4"/>
  <c r="D18" i="4"/>
  <c r="A19" i="4"/>
  <c r="D19" i="4"/>
  <c r="E19" i="4"/>
  <c r="A20" i="4"/>
  <c r="D20" i="4"/>
  <c r="E20" i="4"/>
  <c r="A21" i="4"/>
  <c r="D21" i="4"/>
  <c r="E21" i="4"/>
  <c r="A22" i="4"/>
  <c r="D22" i="4"/>
  <c r="E22" i="4"/>
  <c r="A24" i="4"/>
  <c r="D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0" i="4"/>
  <c r="D30" i="4"/>
  <c r="E30" i="4"/>
  <c r="A31" i="4"/>
  <c r="D31" i="4"/>
  <c r="E31" i="4"/>
  <c r="A33" i="4"/>
  <c r="D33" i="4"/>
  <c r="A34" i="4"/>
  <c r="D34" i="4"/>
  <c r="E34" i="4"/>
  <c r="A35" i="4"/>
  <c r="D35" i="4"/>
  <c r="E35" i="4"/>
  <c r="A36" i="4"/>
  <c r="D36" i="4"/>
  <c r="E36" i="4"/>
  <c r="A37" i="4"/>
  <c r="D37" i="4"/>
  <c r="E37" i="4"/>
  <c r="A38" i="4"/>
  <c r="D38" i="4"/>
  <c r="E38" i="4"/>
  <c r="A39" i="4"/>
  <c r="D39" i="4"/>
  <c r="E39" i="4"/>
  <c r="A40" i="4"/>
  <c r="D40" i="4"/>
  <c r="E40" i="4"/>
  <c r="A41" i="4"/>
  <c r="D41" i="4"/>
  <c r="E41" i="4"/>
  <c r="A42" i="4"/>
  <c r="D42" i="4"/>
  <c r="E42" i="4"/>
  <c r="A43" i="4"/>
  <c r="D43" i="4"/>
  <c r="E43" i="4"/>
  <c r="A44" i="4"/>
  <c r="D44" i="4"/>
  <c r="E44" i="4"/>
  <c r="A46" i="4"/>
  <c r="D46" i="4"/>
  <c r="A47" i="4"/>
  <c r="D47" i="4"/>
  <c r="E47" i="4"/>
  <c r="A48" i="4"/>
  <c r="D48" i="4"/>
  <c r="E48" i="4"/>
  <c r="A49" i="4"/>
  <c r="D49" i="4"/>
  <c r="E49" i="4"/>
  <c r="A50" i="4"/>
  <c r="D50" i="4"/>
  <c r="F50" i="4"/>
  <c r="A52" i="4"/>
  <c r="D52" i="4"/>
  <c r="A53" i="4"/>
  <c r="D53" i="4"/>
  <c r="E53" i="4"/>
  <c r="A54" i="4"/>
  <c r="D54" i="4"/>
  <c r="E54" i="4"/>
  <c r="F54" i="4"/>
  <c r="A55" i="4"/>
  <c r="D55" i="4"/>
  <c r="E55" i="4"/>
  <c r="S71" i="41" l="1"/>
  <c r="S72" i="41" s="1"/>
  <c r="G19" i="4"/>
  <c r="S113" i="41"/>
  <c r="S114" i="41" s="1"/>
  <c r="G21" i="4"/>
  <c r="C10" i="3"/>
  <c r="C17" i="3" s="1"/>
  <c r="C24" i="3" s="1"/>
  <c r="C31" i="3" s="1"/>
  <c r="B34" i="3"/>
  <c r="A34" i="3"/>
  <c r="B28" i="3"/>
  <c r="A28" i="3"/>
  <c r="B27" i="3"/>
  <c r="A27" i="3"/>
  <c r="B21" i="3"/>
  <c r="A21" i="3"/>
  <c r="B20" i="3"/>
  <c r="A20" i="3"/>
  <c r="B7" i="3"/>
  <c r="B13" i="3" s="1"/>
  <c r="A7" i="3"/>
  <c r="A13" i="3" s="1"/>
  <c r="F49" i="4"/>
  <c r="F55" i="4"/>
  <c r="O22" i="19"/>
  <c r="A2" i="22"/>
  <c r="A2" i="33" s="1"/>
  <c r="R22" i="19"/>
  <c r="G26" i="2"/>
  <c r="F27" i="4" s="1"/>
  <c r="X39" i="31"/>
  <c r="X36" i="31"/>
  <c r="X33" i="31"/>
  <c r="X30" i="31"/>
  <c r="X27" i="31"/>
  <c r="X24" i="31"/>
  <c r="X21" i="31"/>
  <c r="X18" i="31"/>
  <c r="X15" i="31"/>
  <c r="X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7" i="4" s="1"/>
  <c r="H35" i="4" s="1"/>
  <c r="E20" i="33"/>
  <c r="A5" i="22"/>
  <c r="E11" i="22"/>
  <c r="E17" i="22"/>
  <c r="E26" i="22" s="1"/>
  <c r="D6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A28" i="31"/>
  <c r="B28" i="31"/>
  <c r="A31" i="31"/>
  <c r="B31" i="31"/>
  <c r="A34" i="31"/>
  <c r="B34" i="31"/>
  <c r="A37" i="31"/>
  <c r="B37" i="31"/>
  <c r="X9" i="31"/>
  <c r="H25" i="4" l="1"/>
  <c r="H13" i="4"/>
  <c r="I13" i="4" s="1"/>
  <c r="H26" i="4"/>
  <c r="E34" i="31"/>
  <c r="H10" i="4"/>
  <c r="I10" i="4" s="1"/>
  <c r="H21" i="4"/>
  <c r="H55" i="4"/>
  <c r="I55" i="4" s="1"/>
  <c r="H39" i="4"/>
  <c r="H28" i="4"/>
  <c r="H47" i="4"/>
  <c r="H44" i="4"/>
  <c r="H27" i="4"/>
  <c r="I27" i="4" s="1"/>
  <c r="H29" i="4"/>
  <c r="H31" i="4"/>
  <c r="H48" i="4"/>
  <c r="H50" i="4"/>
  <c r="I50" i="4" s="1"/>
  <c r="H19" i="4"/>
  <c r="H37" i="4"/>
  <c r="H43" i="4"/>
  <c r="H22" i="4"/>
  <c r="H30" i="4"/>
  <c r="H49" i="4"/>
  <c r="I49" i="4" s="1"/>
  <c r="H34" i="4"/>
  <c r="H38" i="4"/>
  <c r="H12" i="4"/>
  <c r="I12" i="4" s="1"/>
  <c r="H41" i="4"/>
  <c r="H36" i="4"/>
  <c r="H42" i="4"/>
  <c r="H53" i="4"/>
  <c r="H54" i="4"/>
  <c r="I54" i="4" s="1"/>
  <c r="H11" i="4"/>
  <c r="I11" i="4" s="1"/>
  <c r="H16" i="4"/>
  <c r="I16" i="4" s="1"/>
  <c r="J16" i="4" s="1"/>
  <c r="H40" i="4"/>
  <c r="H20" i="4"/>
  <c r="G27" i="2"/>
  <c r="F28" i="4" s="1"/>
  <c r="D7" i="3"/>
  <c r="F48" i="4"/>
  <c r="D12" i="5" l="1"/>
  <c r="E10" i="31" s="1"/>
  <c r="I10" i="31" s="1"/>
  <c r="G25" i="2"/>
  <c r="F26" i="4" s="1"/>
  <c r="I26" i="4" s="1"/>
  <c r="E31" i="31"/>
  <c r="E37" i="31"/>
  <c r="I28" i="4"/>
  <c r="J13" i="4"/>
  <c r="I48" i="4"/>
  <c r="I6" i="4"/>
  <c r="G6" i="4"/>
  <c r="N22" i="19"/>
  <c r="G24" i="2" s="1"/>
  <c r="F25" i="4" s="1"/>
  <c r="I25" i="4" s="1"/>
  <c r="T22" i="19"/>
  <c r="G36" i="2" s="1"/>
  <c r="F37" i="4" s="1"/>
  <c r="I37" i="4" s="1"/>
  <c r="S22" i="19"/>
  <c r="G19" i="2" s="1"/>
  <c r="F20" i="4" s="1"/>
  <c r="I20" i="4" s="1"/>
  <c r="W22" i="19"/>
  <c r="G39" i="2" s="1"/>
  <c r="F40" i="4" s="1"/>
  <c r="I40" i="4" s="1"/>
  <c r="X22" i="19"/>
  <c r="G21" i="2" s="1"/>
  <c r="F22" i="4" s="1"/>
  <c r="I22" i="4" s="1"/>
  <c r="Q22" i="19"/>
  <c r="G33" i="2" s="1"/>
  <c r="F34" i="4" s="1"/>
  <c r="I34" i="4" s="1"/>
  <c r="V22" i="19"/>
  <c r="G38" i="2" s="1"/>
  <c r="F39" i="4" s="1"/>
  <c r="I39" i="4" s="1"/>
  <c r="F47" i="4"/>
  <c r="I47" i="4" s="1"/>
  <c r="U22" i="19"/>
  <c r="G37" i="2" s="1"/>
  <c r="F38" i="4" s="1"/>
  <c r="I38" i="4" s="1"/>
  <c r="D13" i="3"/>
  <c r="H13" i="3" s="1"/>
  <c r="J13" i="3" s="1"/>
  <c r="J14" i="3" s="1"/>
  <c r="G29" i="2" s="1"/>
  <c r="F30" i="4" s="1"/>
  <c r="I30" i="4" s="1"/>
  <c r="H7" i="3"/>
  <c r="J7" i="3" s="1"/>
  <c r="J8" i="3" s="1"/>
  <c r="G28" i="2" s="1"/>
  <c r="F29" i="4" s="1"/>
  <c r="U10" i="31" l="1"/>
  <c r="L10" i="31"/>
  <c r="F10" i="31"/>
  <c r="O10" i="31"/>
  <c r="R10" i="31"/>
  <c r="G30" i="2"/>
  <c r="F31" i="4" s="1"/>
  <c r="I31" i="4" s="1"/>
  <c r="J50" i="4"/>
  <c r="D24" i="5" s="1"/>
  <c r="E22" i="31" s="1"/>
  <c r="G40" i="2"/>
  <c r="F41" i="4" s="1"/>
  <c r="I41" i="4" s="1"/>
  <c r="G35" i="2"/>
  <c r="F36" i="4" s="1"/>
  <c r="I36" i="4" s="1"/>
  <c r="G20" i="2"/>
  <c r="F21" i="4" s="1"/>
  <c r="I21" i="4" s="1"/>
  <c r="G34" i="2"/>
  <c r="F35" i="4" s="1"/>
  <c r="I35" i="4" s="1"/>
  <c r="G52" i="2"/>
  <c r="F53" i="4" s="1"/>
  <c r="I53" i="4" s="1"/>
  <c r="J55" i="4" s="1"/>
  <c r="D27" i="5" s="1"/>
  <c r="D45" i="5"/>
  <c r="G4" i="2" s="1"/>
  <c r="D21" i="3"/>
  <c r="H21" i="3" s="1"/>
  <c r="J21" i="3" s="1"/>
  <c r="I34" i="31"/>
  <c r="L34" i="31"/>
  <c r="O34" i="31"/>
  <c r="L37" i="31"/>
  <c r="O37" i="31"/>
  <c r="I37" i="31"/>
  <c r="G18" i="2"/>
  <c r="F19" i="4" s="1"/>
  <c r="I19" i="4" s="1"/>
  <c r="I29" i="4"/>
  <c r="X10" i="31"/>
  <c r="Y10" i="31" s="1"/>
  <c r="D34" i="3"/>
  <c r="H34" i="3" s="1"/>
  <c r="J34" i="3" s="1"/>
  <c r="J35" i="3" s="1"/>
  <c r="G43" i="2" s="1"/>
  <c r="F44" i="4" s="1"/>
  <c r="I44" i="4" s="1"/>
  <c r="D9" i="5"/>
  <c r="E7" i="31" s="1"/>
  <c r="D20" i="3" l="1"/>
  <c r="D27" i="3" s="1"/>
  <c r="H27" i="3" s="1"/>
  <c r="J27" i="3" s="1"/>
  <c r="J31" i="4"/>
  <c r="D18" i="5" s="1"/>
  <c r="E16" i="31" s="1"/>
  <c r="J22" i="4"/>
  <c r="D28" i="3"/>
  <c r="H28" i="3" s="1"/>
  <c r="J28" i="3" s="1"/>
  <c r="X37" i="31"/>
  <c r="Y37" i="31" s="1"/>
  <c r="X34" i="31"/>
  <c r="Y34" i="31" s="1"/>
  <c r="L31" i="31"/>
  <c r="I31" i="31"/>
  <c r="U22" i="31"/>
  <c r="R22" i="31"/>
  <c r="E25" i="31"/>
  <c r="H20" i="3" l="1"/>
  <c r="J20" i="3" s="1"/>
  <c r="J22" i="3" s="1"/>
  <c r="G41" i="2" s="1"/>
  <c r="F42" i="4" s="1"/>
  <c r="I42" i="4" s="1"/>
  <c r="J29" i="3"/>
  <c r="G42" i="2" s="1"/>
  <c r="F43" i="4" s="1"/>
  <c r="I43" i="4" s="1"/>
  <c r="X22" i="31"/>
  <c r="Y22" i="31" s="1"/>
  <c r="X31" i="31"/>
  <c r="Y31" i="31" s="1"/>
  <c r="L16" i="31"/>
  <c r="I16" i="31"/>
  <c r="F16" i="31"/>
  <c r="O16" i="31"/>
  <c r="O25" i="31"/>
  <c r="R25" i="31"/>
  <c r="U25" i="31"/>
  <c r="U7" i="31"/>
  <c r="R7" i="31"/>
  <c r="L7" i="31"/>
  <c r="F7" i="31"/>
  <c r="O7" i="31"/>
  <c r="I7" i="31"/>
  <c r="D15" i="5"/>
  <c r="E13" i="31" s="1"/>
  <c r="J44" i="4" l="1"/>
  <c r="D21" i="5" s="1"/>
  <c r="E19" i="31" s="1"/>
  <c r="G60" i="2"/>
  <c r="F61" i="4"/>
  <c r="X25" i="31"/>
  <c r="Y25" i="31" s="1"/>
  <c r="X16" i="31"/>
  <c r="X7" i="31"/>
  <c r="Y7" i="31" s="1"/>
  <c r="F63" i="4" l="1"/>
  <c r="J57" i="4"/>
  <c r="K16" i="4" s="1"/>
  <c r="E28" i="31"/>
  <c r="I28" i="31" s="1"/>
  <c r="U28" i="31"/>
  <c r="D43" i="5"/>
  <c r="D47" i="5" s="1"/>
  <c r="F19" i="31"/>
  <c r="O19" i="31"/>
  <c r="I19" i="31"/>
  <c r="L19" i="31"/>
  <c r="L13" i="31"/>
  <c r="F13" i="31"/>
  <c r="U13" i="31"/>
  <c r="U41" i="31" s="1"/>
  <c r="I13" i="31"/>
  <c r="R13" i="31"/>
  <c r="O13" i="31"/>
  <c r="O28" i="31" l="1"/>
  <c r="L28" i="31"/>
  <c r="E44" i="31"/>
  <c r="E40" i="31"/>
  <c r="D34" i="31" s="1"/>
  <c r="R28" i="31"/>
  <c r="R41" i="31" s="1"/>
  <c r="J60" i="4"/>
  <c r="O41" i="31"/>
  <c r="I41" i="31"/>
  <c r="D46" i="5"/>
  <c r="X19" i="31"/>
  <c r="Y19" i="31" s="1"/>
  <c r="D10" i="31"/>
  <c r="X13" i="31"/>
  <c r="F41" i="31"/>
  <c r="D23" i="31" l="1"/>
  <c r="I40" i="31"/>
  <c r="U40" i="31"/>
  <c r="O40" i="31"/>
  <c r="X28" i="31"/>
  <c r="Y28" i="31" s="1"/>
  <c r="D13" i="31"/>
  <c r="D37" i="31"/>
  <c r="D16" i="31"/>
  <c r="D31" i="31"/>
  <c r="D19" i="31"/>
  <c r="R40" i="31"/>
  <c r="D25" i="31"/>
  <c r="D7" i="31"/>
  <c r="D28" i="31"/>
  <c r="L41" i="31"/>
  <c r="L40" i="31" s="1"/>
  <c r="Y13" i="31"/>
  <c r="Y40" i="31"/>
  <c r="F42" i="31"/>
  <c r="I42" i="31" s="1"/>
  <c r="F40" i="31"/>
  <c r="D40" i="31" l="1"/>
  <c r="X41" i="31"/>
  <c r="X40" i="31"/>
  <c r="L42" i="31"/>
  <c r="O42" i="31" s="1"/>
  <c r="R42" i="31" s="1"/>
  <c r="U42" i="31" s="1"/>
  <c r="Y42" i="31" s="1"/>
</calcChain>
</file>

<file path=xl/sharedStrings.xml><?xml version="1.0" encoding="utf-8"?>
<sst xmlns="http://schemas.openxmlformats.org/spreadsheetml/2006/main" count="1518" uniqueCount="525">
  <si>
    <t>DISCRIMINAÇÃO</t>
  </si>
  <si>
    <t>UNIDADE</t>
  </si>
  <si>
    <t>QUANTIDADE</t>
  </si>
  <si>
    <t>TERRAPLENAGEM</t>
  </si>
  <si>
    <t>m³</t>
  </si>
  <si>
    <t>PAVIMENTAÇÃO</t>
  </si>
  <si>
    <t>m²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</si>
  <si>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</si>
  <si>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</si>
  <si>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</si>
  <si>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</si>
  <si>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</si>
  <si>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</si>
  <si>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</si>
  <si>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</si>
  <si>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</si>
  <si>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</si>
  <si>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</si>
  <si>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</si>
  <si>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</si>
  <si>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</si>
  <si>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</si>
  <si>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</si>
  <si>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</si>
  <si>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</si>
  <si>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</si>
  <si>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</si>
  <si>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</si>
  <si>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</si>
  <si>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</si>
  <si>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</si>
  <si>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</si>
  <si>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</si>
  <si>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</si>
  <si>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</si>
  <si>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</si>
  <si>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</si>
  <si>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</si>
  <si>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</si>
  <si>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</si>
  <si>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</si>
  <si>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</si>
  <si>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</si>
  <si>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</si>
  <si>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</si>
  <si>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</si>
  <si>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</si>
  <si>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</si>
  <si>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</si>
  <si>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</si>
  <si>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</si>
  <si>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</si>
  <si>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</si>
  <si>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</si>
  <si>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</si>
  <si>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</si>
  <si>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</si>
  <si>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</si>
  <si>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</si>
  <si>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</si>
  <si>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</si>
  <si>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</si>
  <si>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</si>
  <si>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</si>
  <si>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</si>
  <si>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</si>
  <si>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</si>
  <si>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</si>
  <si>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</si>
  <si>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</si>
  <si>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</si>
  <si>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</si>
  <si>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</si>
  <si>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</si>
  <si>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</si>
  <si>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</si>
  <si>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</si>
  <si>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</si>
  <si>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</si>
  <si>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</si>
  <si>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</si>
  <si>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</si>
  <si>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</si>
  <si>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</si>
  <si>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</si>
  <si>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</si>
  <si>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</si>
  <si>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</si>
  <si>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</si>
  <si>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</si>
  <si>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</si>
  <si>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</si>
  <si>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</si>
  <si>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</si>
  <si>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</si>
  <si>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</si>
  <si>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</si>
  <si>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</si>
  <si>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</si>
  <si>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</si>
  <si>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</si>
  <si>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</si>
  <si>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</si>
  <si>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</si>
  <si>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</si>
  <si>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</si>
  <si>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</si>
  <si>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</si>
  <si>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</si>
  <si>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</si>
  <si>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</si>
  <si>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</si>
  <si>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</si>
  <si>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</si>
  <si>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</si>
  <si>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</si>
  <si>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</si>
  <si>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</si>
  <si>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</si>
  <si>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</si>
  <si>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</si>
  <si>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</si>
  <si>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</si>
  <si>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</si>
  <si>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</si>
  <si>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</si>
  <si>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</si>
  <si>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</si>
  <si>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</si>
  <si>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</si>
  <si>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</si>
  <si>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</si>
  <si>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</si>
  <si>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</si>
  <si>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</si>
  <si>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</si>
  <si>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</si>
  <si>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</si>
  <si>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</si>
  <si>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</si>
  <si>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</si>
  <si>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</si>
  <si>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</si>
  <si>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</si>
  <si>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</si>
  <si>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</si>
  <si>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</si>
  <si>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</si>
  <si>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</si>
  <si>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</si>
  <si>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</si>
  <si>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</si>
  <si>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</si>
  <si>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</si>
  <si>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</si>
  <si>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</si>
  <si>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</si>
  <si>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</si>
  <si>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</si>
  <si>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</si>
  <si>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</si>
  <si>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</si>
  <si>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</si>
  <si>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</si>
  <si>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</si>
  <si>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</si>
  <si>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</si>
  <si>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</si>
  <si>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</si>
  <si>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</si>
  <si>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</si>
  <si>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Placa esmaltada para identificação NR de Rua, dimensões 45X25cm</t>
  </si>
  <si>
    <t>Fornecimento e implantação de suporte metálico galvanizado para placa de regulamentação - R1 - lado de 0,248 m</t>
  </si>
  <si>
    <t>6.4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</si>
  <si>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</si>
  <si>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</si>
  <si>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</si>
  <si>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</si>
  <si>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</si>
  <si>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</si>
  <si>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</si>
  <si>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</si>
  <si>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</si>
  <si>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</si>
  <si>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Pavimentação de Vias Urbanas</t>
  </si>
  <si>
    <t>OBRA: Pavimentação de Vias Urbanas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</si>
  <si>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</si>
  <si>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</si>
  <si>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</si>
  <si>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</si>
  <si>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</si>
  <si>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</si>
  <si>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</si>
  <si>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</si>
  <si>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</si>
  <si>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</si>
  <si>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</si>
  <si>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</si>
  <si>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</si>
  <si>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</si>
  <si>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</si>
  <si>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</si>
  <si>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</si>
  <si>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</si>
  <si>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</si>
  <si>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</si>
  <si>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</si>
  <si>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</si>
  <si>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</si>
  <si>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</si>
  <si>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Descrição</t>
  </si>
  <si>
    <t>Unidade</t>
  </si>
  <si>
    <t>MES</t>
  </si>
  <si>
    <t>Coeficiente</t>
  </si>
  <si>
    <t>REFORÇO (m³)</t>
  </si>
  <si>
    <t>ÁREA TOTAL</t>
  </si>
  <si>
    <t>Placas R-1 de Regulamentação</t>
  </si>
  <si>
    <t>Total</t>
  </si>
  <si>
    <t>Placas Indicativas</t>
  </si>
  <si>
    <t>LARGURA</t>
  </si>
  <si>
    <t>Faixa Branca (Bordos)</t>
  </si>
  <si>
    <t>Ambos os lados (ida e volta)</t>
  </si>
  <si>
    <t>Faixa Amarela (Eixo)</t>
  </si>
  <si>
    <t>Eixo da rua (Linha Seccionada)</t>
  </si>
  <si>
    <t>Eixo da rua (Linha simples contínua)</t>
  </si>
  <si>
    <t>Legenda (PARE) - 2 unidade</t>
  </si>
  <si>
    <t>Inscrições no Pav.</t>
  </si>
  <si>
    <t>LRE</t>
  </si>
  <si>
    <t>TOTAL GERAL DE PINTURA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</si>
  <si>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</si>
  <si>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</si>
  <si>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</si>
  <si>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CBUQ                (m³)</t>
  </si>
  <si>
    <t>IMPRIM.                   (m²)</t>
  </si>
  <si>
    <t>SUB-BASE                (m³)</t>
  </si>
  <si>
    <t>CORTE                  (m³)</t>
  </si>
  <si>
    <t>PLANILHA ORÇAMENTÁRIA</t>
  </si>
  <si>
    <t>PINTURA DE LIGAÇÃO (m²)</t>
  </si>
  <si>
    <t>BASE                (m³)</t>
  </si>
  <si>
    <t>TOTAL GERAL</t>
  </si>
  <si>
    <t>SERVIÇOS</t>
  </si>
  <si>
    <t>SICRO</t>
  </si>
  <si>
    <t>EXTENSÃO (m)  :</t>
  </si>
  <si>
    <t xml:space="preserve">ÁREA (m²)  : </t>
  </si>
  <si>
    <t>DATA BASE   :</t>
  </si>
  <si>
    <t>Linha de Retenção / Legenda no Pavimento</t>
  </si>
  <si>
    <t>RESUMO DA SINALIZAÇÃO HORIZONTAL</t>
  </si>
  <si>
    <t>FAIXA BRANCA CONTÍNUA DE BORDO (LBO)</t>
  </si>
  <si>
    <t>FAIXA AMARELA CONTÍNUA SIMPLES (LFO-1)</t>
  </si>
  <si>
    <t>FAIXA AMARELA SECCIONADA LFO-2 / (2x4)</t>
  </si>
  <si>
    <t>FAIXA BRANCA RETENÇÃO (LRE)</t>
  </si>
  <si>
    <t>LEGENDAS (PARE)</t>
  </si>
  <si>
    <t>Composição</t>
  </si>
  <si>
    <t>Administração Local</t>
  </si>
  <si>
    <t>Comp. 2.1</t>
  </si>
  <si>
    <t>Comp. 3.1</t>
  </si>
  <si>
    <t>Comp. 3.2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</si>
  <si>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</si>
  <si>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</si>
  <si>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</si>
  <si>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</si>
  <si>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</si>
  <si>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</si>
  <si>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</si>
  <si>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</si>
  <si>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5.3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</si>
  <si>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</si>
  <si>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</si>
  <si>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</si>
  <si>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</si>
  <si>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</si>
  <si>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</si>
  <si>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</si>
  <si>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</si>
  <si>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</si>
  <si>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</si>
  <si>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</si>
  <si>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</si>
  <si>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</si>
  <si>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</si>
  <si>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</si>
  <si>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</si>
  <si>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</si>
  <si>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</si>
  <si>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</si>
  <si>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</si>
  <si>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</si>
  <si>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</si>
  <si>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</si>
  <si>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</si>
  <si>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</si>
  <si>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</si>
  <si>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</si>
  <si>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</si>
  <si>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</si>
  <si>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Ensaio de Sub-base estabilizada granulometricamente</t>
  </si>
  <si>
    <t>Comp. 5.8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</si>
  <si>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</si>
  <si>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</si>
  <si>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</si>
  <si>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</si>
  <si>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</si>
  <si>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</si>
  <si>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</si>
  <si>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</si>
  <si>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</si>
  <si>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</si>
  <si>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</si>
  <si>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</si>
  <si>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</si>
  <si>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</si>
  <si>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</si>
  <si>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</si>
  <si>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</si>
  <si>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</si>
  <si>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</si>
  <si>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</si>
  <si>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</si>
  <si>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</si>
  <si>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</si>
  <si>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</si>
  <si>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</si>
  <si>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</si>
  <si>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</si>
  <si>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</si>
  <si>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</si>
  <si>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</si>
  <si>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</si>
  <si>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</si>
  <si>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</si>
  <si>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</si>
  <si>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</si>
  <si>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</si>
  <si>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</si>
  <si>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</si>
  <si>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</si>
  <si>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</si>
  <si>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</si>
  <si>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101389</t>
  </si>
  <si>
    <t>AUXILIAR DE TOPÓGRAFO COM ENCARGOS COMPLEMENTARES</t>
  </si>
  <si>
    <t>101456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</si>
  <si>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</si>
  <si>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</si>
  <si>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</si>
  <si>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</si>
  <si>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</si>
  <si>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</si>
  <si>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</si>
  <si>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</si>
  <si>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</si>
  <si>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</si>
  <si>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</si>
  <si>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</si>
  <si>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</si>
  <si>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</si>
  <si>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</si>
  <si>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</si>
  <si>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</si>
  <si>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</si>
  <si>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</si>
  <si>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</si>
  <si>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</si>
  <si>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</si>
  <si>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</si>
  <si>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</si>
  <si>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</si>
  <si>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</si>
  <si>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</si>
  <si>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</si>
  <si>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</si>
  <si>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</si>
  <si>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</si>
  <si>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</si>
  <si>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</si>
  <si>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</si>
  <si>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</si>
  <si>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</si>
  <si>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</si>
  <si>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</si>
  <si>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</si>
  <si>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</si>
  <si>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</si>
  <si>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</si>
  <si>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</si>
  <si>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</si>
  <si>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</si>
  <si>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</si>
  <si>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</si>
  <si>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</si>
  <si>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</si>
  <si>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</si>
  <si>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</si>
  <si>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</si>
  <si>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</si>
  <si>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</si>
  <si>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</si>
  <si>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</si>
  <si>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</si>
  <si>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</si>
  <si>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</si>
  <si>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</si>
  <si>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</si>
  <si>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</si>
  <si>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</si>
  <si>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</si>
  <si>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</si>
  <si>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</si>
  <si>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</si>
  <si>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</si>
  <si>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</si>
  <si>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</si>
  <si>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00041901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</si>
  <si>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</si>
  <si>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</si>
  <si>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</si>
  <si>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</si>
  <si>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</si>
  <si>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</si>
  <si>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</si>
  <si>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</si>
  <si>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</si>
  <si>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</si>
  <si>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</si>
  <si>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</si>
  <si>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</si>
  <si>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</si>
  <si>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</si>
  <si>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</si>
  <si>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</si>
  <si>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</si>
  <si>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</si>
  <si>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</si>
  <si>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</si>
  <si>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</si>
  <si>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</si>
  <si>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</si>
  <si>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</si>
  <si>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</si>
  <si>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</si>
  <si>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</si>
  <si>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</si>
  <si>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</si>
  <si>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</si>
  <si>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</si>
  <si>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</si>
  <si>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</si>
  <si>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</si>
  <si>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</si>
  <si>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</si>
  <si>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</si>
  <si>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</si>
  <si>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</si>
  <si>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ATERRO            (m³)</t>
  </si>
  <si>
    <t>COMP. 5.4</t>
  </si>
  <si>
    <t>EXECUÇÃO E COMPACTAÇÃO DE BASE COM SOLO ESTABILIZADO GRANULOMETRICAMENTE - EXCLUSIVE ESCAVAÇÃO, CARGA E TRANSPORTE E SOLO. AF_09/2017</t>
  </si>
  <si>
    <t>LIMPA RODAS</t>
  </si>
  <si>
    <t>Legenda (PARE) - 1 unidade</t>
  </si>
  <si>
    <t>Ii  (Dezembro/2021)</t>
  </si>
  <si>
    <t>DEZEMBRO/2021 SINAPI</t>
  </si>
  <si>
    <t>JULHO/2021 SICRO</t>
  </si>
  <si>
    <t>Eixo da rua (Linha Contínua)</t>
  </si>
  <si>
    <t>Data Base: Dez./2021 (SINAPI) e Jul./2021 (SICRO) sem desoneração</t>
  </si>
  <si>
    <t xml:space="preserve">Data Base: Dez./2021 (SINAPI) e Jul./2021 (SICRO) sem desoneração     </t>
  </si>
  <si>
    <t>PLACA DE OBRA EM CHAPA DE AÇO GALVANIZADO</t>
  </si>
  <si>
    <t>BAIRRO: PARQUE DEL REY</t>
  </si>
  <si>
    <t>RUA C</t>
  </si>
  <si>
    <t>RUA E</t>
  </si>
  <si>
    <t>RUA F</t>
  </si>
  <si>
    <t>RUA J</t>
  </si>
  <si>
    <t>RUA MONSIEUR</t>
  </si>
  <si>
    <t>BAIRRO</t>
  </si>
  <si>
    <t>PARQUE DEL REY</t>
  </si>
  <si>
    <t>RUA C, RUA, E, RUA F, RUA J E RUA MONSIEUR</t>
  </si>
  <si>
    <t>Obra: Parque Del Rey</t>
  </si>
  <si>
    <t>NOTA DE SERVIÇO DE SINALIZAÇÃO HORIZONTAL (BAIRRO PARQUE DEL REY)</t>
  </si>
  <si>
    <t>Rua Monsieur - Bairro Parque Del Rey</t>
  </si>
  <si>
    <t>Legenda (PARE) - 7 unidade</t>
  </si>
  <si>
    <t>Linha de Retenção - 1 unidade (Est. 0+0,00) menos 16,00m - LE</t>
  </si>
  <si>
    <t>Linha de Retenção - 1 unidade (Est. 2+17,00) - LD</t>
  </si>
  <si>
    <t>Linha de Retenção - 1 unidade (Est. 6+7,00) - LD</t>
  </si>
  <si>
    <t>Linha de Retenção - 1 unidade (Est. 9+5,70) - LE</t>
  </si>
  <si>
    <t>Linha de Retenção - 1 unidade (Est. 9+17,60) - LD</t>
  </si>
  <si>
    <t>Linha de Retenção - 1 unidade (Est. 13+12,40) - LD</t>
  </si>
  <si>
    <t>Linha de Retenção - 1 unidade (Est. 17+6,40) - LD</t>
  </si>
  <si>
    <t>Rua F - Bairro Parque Del Rey</t>
  </si>
  <si>
    <t>Linha de Retenção - 1 unidade (Est. 0+7,00) - LE</t>
  </si>
  <si>
    <t>Linha de Retenção - 1 unidade (Est. 5+10,00) mais 13,40m - LD</t>
  </si>
  <si>
    <t>Rua E - Bairro Parque Del Rey</t>
  </si>
  <si>
    <t>Linha de Retenção - 1 unidade (Est. 5+14,00) mais 9,50m  - LD</t>
  </si>
  <si>
    <t>Rua C - Bairro Parque Del Rey</t>
  </si>
  <si>
    <t>Linha de Retenção - 1 unidade (Est. 5+12,00) mais 12,40m - LD</t>
  </si>
  <si>
    <t>Rua J - Bairro Parque Del Rey</t>
  </si>
  <si>
    <t>Linha de Retenção - 1 unidade (Est. 2+16,00) mais 12,00m - LD</t>
  </si>
  <si>
    <t>TOTAL DE PINTURA DE LEGENDA</t>
  </si>
  <si>
    <t xml:space="preserve">NOTA DE SERVIÇO DE SINALIZAÇÃO VERTICAL (BAIRRO PARQUE DEL REY) </t>
  </si>
  <si>
    <t>Rua Monsieur - (Estaca 0+0,00) menos 16,00m - LE / Bairro Parque Del Rey</t>
  </si>
  <si>
    <t>Esquina com a Rua Para (posicionar a 5 metros do bordo da pista transversal)</t>
  </si>
  <si>
    <t>Esquina com a Rua Para (posicionar a 2 metros do bordo da pista transversal)</t>
  </si>
  <si>
    <t>Rua Monsieur - (Estaca 2+17,00) - LD / Bairro Parque Del Rey</t>
  </si>
  <si>
    <t>Esquina com a Rua F (posicionar a 5 metros do bordo da pista transversal)</t>
  </si>
  <si>
    <t>Esquina com a Rua  F (posicionar a 2 metros do bordo da pista transversal)</t>
  </si>
  <si>
    <t>Rua Monsieur - (Estaca 6+7,00) - LD / Bairro Parque Del Rey</t>
  </si>
  <si>
    <t>Esquina com a Rua E (posicionar a 5 metros do bordo da pista transversal)</t>
  </si>
  <si>
    <t>Esquina com a Rua E (posicionar a 2 metros do bordo da pista transversal)</t>
  </si>
  <si>
    <t>Rua Monsieur - (Estaca 9+5,70) - LE / Bairro Parque Del Rey</t>
  </si>
  <si>
    <t>Esquina com a Rua Curitiba (posicionar a 5 metros do bordo da pista transversal)</t>
  </si>
  <si>
    <t>Esquina com a Rua Rua Curitiba (posicionar a 2 metros do bordo da pista transversal)</t>
  </si>
  <si>
    <t>Rua Monsieur - (Estaca 9+17,60) - LD / Bairro Parque Del Rey</t>
  </si>
  <si>
    <t>Rua Monsieur - (Estaca 13+12,40) - LD / Bairro Parque Del Rey</t>
  </si>
  <si>
    <t>Esquina com a Rua C (posicionar a 5 metros do bordo da pista transversal)</t>
  </si>
  <si>
    <t>Esquina com a Rua C (posicionar a 2 metros do bordo da pista transversal)</t>
  </si>
  <si>
    <t>Rua Monsieur - (Estaca 17+6,40) - LD / Bairro Parque Del Rey</t>
  </si>
  <si>
    <t>Esquina com a Rua Augusto Mário (posicionar a 5 metros do bordo da pista transversal)</t>
  </si>
  <si>
    <t>Esquina com a Rua Augusto Mário (posicionar a 2 metros do bordo da pista transversal)</t>
  </si>
  <si>
    <t>Rua F - (Estaca 0+7,00) - LE / Bairro Parque Del Rey</t>
  </si>
  <si>
    <t>Esquina com a Rua Monsieur (posicionar a 5 metros do bordo da pista transversal)</t>
  </si>
  <si>
    <t>Esquina com a Rua Monsieur (posicionar a 2 metros do bordo da pista transversal)</t>
  </si>
  <si>
    <t>Rua F - (Estaca 5+10,00) mais 13,40m - LD / Bairro Parque Del Rey</t>
  </si>
  <si>
    <t>Esquina com a Rua N (posicionar a 5 metros do bordo da pista transversal)</t>
  </si>
  <si>
    <t>Esquina com a Rua N (posicionar a 2 metros do bordo da pista transversal)</t>
  </si>
  <si>
    <t>Rua E - (Estaca 0+7,00) - LE / Bairro Parque Del Rey</t>
  </si>
  <si>
    <t>Rua E - (Estaca 5+14,00) mais 9,50m  - LD / Bairro Parque Del Rey</t>
  </si>
  <si>
    <t>Rua C - (Estaca 0+7,00) - LE / Bairro Parque Del Rey</t>
  </si>
  <si>
    <t>Rua C - (Estaca 5+12,00) mais 12,40m - LD / Bairro Parque Del Rey</t>
  </si>
  <si>
    <t>Rua J - (Estaca 2+16,00) mais 12,00m - LD / Bairro Parque Del 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</si>
</sst>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6" formatCode="_(* #,##0.00_);_(* \(#,##0.00\);_(* \-??_);_(@_)"/>
    <numFmt numFmtId="177" formatCode="_([$€-2]* #,##0.00_);_([$€-2]* \(#,##0.00\);_([$€-2]* &quot;-&quot;??_)"/>
    <numFmt numFmtId="178" formatCode="0.0%"/>
    <numFmt numFmtId="179" formatCode="#,##0.000_);[Red]\(#,##0.000\)"/>
    <numFmt numFmtId="180" formatCode="[$-F800]dddd\,\ mmmm\ dd\,\ yyyy"/>
    <numFmt numFmtId="181" formatCode="#,##0.00\ &quot;m²&quot;"/>
    <numFmt numFmtId="182" formatCode="00\ &quot;unid.&quot;"/>
    <numFmt numFmtId="183" formatCode="_(* #,##0.000_);_(* \(#,##0.000\);_(* \-??_);_(@_)"/>
    <numFmt numFmtId="184" formatCode="_(* #,##0.0000_);_(* \(#,##0.0000\);_(* \-????_);_(@_)"/>
    <numFmt numFmtId="185" formatCode="_(* #,##0.00000_);_(* \(#,##0.00000\);_(* \-??_);_(@_)"/>
    <numFmt numFmtId="186" formatCode="#,##0.00000"/>
  </numFmts>
  <fonts count="9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b/>
      <sz val="13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</font>
    <font>
      <b/>
      <sz val="14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090">
    <xf numFmtId="0" fontId="0" fillId="0" borderId="0"/>
    <xf numFmtId="0" fontId="2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32" fillId="16" borderId="0" applyNumberFormat="0" applyFont="0" applyFill="0" applyProtection="0"/>
    <xf numFmtId="0" fontId="5" fillId="6" borderId="0" applyNumberFormat="0" applyBorder="0" applyAlignment="0" applyProtection="0"/>
    <xf numFmtId="0" fontId="32" fillId="16" borderId="0" applyNumberFormat="0" applyFont="0" applyFill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32" fillId="9" borderId="0" applyNumberFormat="0" applyFont="0" applyFill="0" applyProtection="0"/>
    <xf numFmtId="0" fontId="5" fillId="20" borderId="0" applyNumberFormat="0" applyBorder="0" applyAlignment="0" applyProtection="0"/>
    <xf numFmtId="0" fontId="32" fillId="9" borderId="0" applyNumberFormat="0" applyFont="0" applyFill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32" fillId="14" borderId="0" applyNumberFormat="0" applyFont="0" applyFill="0" applyProtection="0"/>
    <xf numFmtId="0" fontId="5" fillId="12" borderId="0" applyNumberFormat="0" applyBorder="0" applyAlignment="0" applyProtection="0"/>
    <xf numFmtId="0" fontId="32" fillId="14" borderId="0" applyNumberFormat="0" applyFont="0" applyFill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6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32" fillId="15" borderId="0" applyNumberFormat="0" applyFont="0" applyFill="0" applyProtection="0"/>
    <xf numFmtId="0" fontId="5" fillId="9" borderId="0" applyNumberFormat="0" applyBorder="0" applyAlignment="0" applyProtection="0"/>
    <xf numFmtId="0" fontId="32" fillId="15" borderId="0" applyNumberFormat="0" applyFont="0" applyFill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12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33" fillId="4" borderId="0" applyNumberFormat="0" applyFont="0" applyFill="0" applyProtection="0"/>
    <xf numFmtId="0" fontId="6" fillId="6" borderId="0" applyNumberFormat="0" applyBorder="0" applyAlignment="0" applyProtection="0"/>
    <xf numFmtId="0" fontId="33" fillId="4" borderId="0" applyNumberFormat="0" applyFont="0" applyFill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7" fillId="26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1" fillId="0" borderId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9" fillId="0" borderId="4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8" fillId="28" borderId="2" applyNumberForma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32" fillId="22" borderId="0" applyNumberFormat="0" applyFont="0" applyFill="0" applyProtection="0"/>
    <xf numFmtId="0" fontId="5" fillId="29" borderId="0" applyNumberFormat="0" applyBorder="0" applyAlignment="0" applyProtection="0"/>
    <xf numFmtId="0" fontId="32" fillId="22" borderId="0" applyNumberFormat="0" applyFont="0" applyFill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32" fillId="30" borderId="0" applyNumberFormat="0" applyFont="0" applyFill="0" applyProtection="0"/>
    <xf numFmtId="0" fontId="5" fillId="20" borderId="0" applyNumberFormat="0" applyBorder="0" applyAlignment="0" applyProtection="0"/>
    <xf numFmtId="0" fontId="32" fillId="30" borderId="0" applyNumberFormat="0" applyFont="0" applyFill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32" fillId="31" borderId="0" applyNumberFormat="0" applyFont="0" applyFill="0" applyProtection="0"/>
    <xf numFmtId="0" fontId="5" fillId="12" borderId="0" applyNumberFormat="0" applyBorder="0" applyAlignment="0" applyProtection="0"/>
    <xf numFmtId="0" fontId="32" fillId="31" borderId="0" applyNumberFormat="0" applyFont="0" applyFill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2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32" fillId="23" borderId="0" applyNumberFormat="0" applyFont="0" applyFill="0" applyProtection="0"/>
    <xf numFmtId="0" fontId="5" fillId="23" borderId="0" applyNumberFormat="0" applyBorder="0" applyAlignment="0" applyProtection="0"/>
    <xf numFmtId="0" fontId="32" fillId="23" borderId="0" applyNumberFormat="0" applyFont="0" applyFill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10" fillId="13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29" fillId="0" borderId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50" fillId="0" borderId="0"/>
    <xf numFmtId="0" fontId="49" fillId="0" borderId="0"/>
    <xf numFmtId="0" fontId="48" fillId="0" borderId="0"/>
    <xf numFmtId="176" fontId="48" fillId="0" borderId="0" applyBorder="0" applyProtection="0"/>
    <xf numFmtId="0" fontId="1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39" fillId="3" borderId="0" applyNumberFormat="0" applyFont="0" applyFill="0" applyProtection="0"/>
    <xf numFmtId="0" fontId="12" fillId="5" borderId="0" applyNumberFormat="0" applyBorder="0" applyAlignment="0" applyProtection="0"/>
    <xf numFmtId="0" fontId="39" fillId="3" borderId="0" applyNumberFormat="0" applyFont="0" applyFill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10" fillId="7" borderId="1" applyNumberFormat="0" applyAlignment="0" applyProtection="0"/>
    <xf numFmtId="0" fontId="22" fillId="0" borderId="5" applyNumberFormat="0" applyFill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40" fillId="10" borderId="0" applyNumberFormat="0" applyFont="0" applyFill="0" applyProtection="0"/>
    <xf numFmtId="0" fontId="13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1" fillId="0" borderId="0" applyNumberFormat="0" applyFill="0" applyBorder="0" applyProtection="0">
      <alignment vertical="top" wrapText="1"/>
    </xf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3" fillId="0" borderId="0"/>
    <xf numFmtId="0" fontId="1" fillId="0" borderId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Alignment="0" applyProtection="0"/>
    <xf numFmtId="0" fontId="14" fillId="25" borderId="11" applyNumberFormat="0" applyAlignment="0" applyProtection="0"/>
    <xf numFmtId="0" fontId="30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25" borderId="11" applyNumberFormat="0" applyAlignme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14" fillId="26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6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1" fillId="0" borderId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17" fillId="0" borderId="14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45" fillId="0" borderId="0" applyNumberFormat="0" applyFon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18" fillId="0" borderId="16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19" fillId="0" borderId="17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47" fillId="0" borderId="0" applyNumberFormat="0" applyFon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45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0" fillId="0" borderId="19" applyNumberFormat="0" applyFill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0" fillId="0" borderId="18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71" fillId="0" borderId="0" applyFont="0" applyFill="0" applyBorder="0" applyAlignment="0" applyProtection="0"/>
  </cellStyleXfs>
  <cellXfs count="952">
    <xf numFmtId="0" fontId="0" fillId="0" borderId="0" xfId="0"/>
    <xf numFmtId="0" fontId="53" fillId="0" borderId="86" xfId="0" applyFont="1" applyBorder="1" applyAlignment="1">
      <alignment horizontal="center"/>
    </xf>
    <xf numFmtId="4" fontId="53" fillId="0" borderId="87" xfId="0" applyNumberFormat="1" applyFont="1" applyBorder="1" applyAlignment="1">
      <alignment horizontal="center"/>
    </xf>
    <xf numFmtId="4" fontId="54" fillId="0" borderId="87" xfId="0" applyNumberFormat="1" applyFont="1" applyBorder="1" applyAlignment="1">
      <alignment horizontal="center"/>
    </xf>
    <xf numFmtId="0" fontId="54" fillId="0" borderId="87" xfId="0" applyFont="1" applyBorder="1" applyAlignment="1">
      <alignment horizontal="center"/>
    </xf>
    <xf numFmtId="0" fontId="55" fillId="0" borderId="88" xfId="0" applyFont="1" applyBorder="1" applyAlignment="1">
      <alignment horizontal="center"/>
    </xf>
    <xf numFmtId="0" fontId="54" fillId="0" borderId="86" xfId="0" applyFont="1" applyBorder="1" applyAlignment="1">
      <alignment horizontal="center"/>
    </xf>
    <xf numFmtId="165" fontId="54" fillId="0" borderId="87" xfId="0" applyNumberFormat="1" applyFont="1" applyBorder="1" applyAlignment="1">
      <alignment horizontal="center"/>
    </xf>
    <xf numFmtId="4" fontId="54" fillId="0" borderId="87" xfId="0" applyNumberFormat="1" applyFont="1" applyBorder="1" applyAlignment="1">
      <alignment horizontal="right"/>
    </xf>
    <xf numFmtId="4" fontId="54" fillId="0" borderId="87" xfId="0" applyNumberFormat="1" applyFont="1" applyBorder="1" applyAlignment="1"/>
    <xf numFmtId="0" fontId="54" fillId="0" borderId="87" xfId="0" applyFont="1" applyBorder="1" applyAlignment="1"/>
    <xf numFmtId="0" fontId="54" fillId="0" borderId="88" xfId="0" applyFont="1" applyBorder="1" applyAlignment="1"/>
    <xf numFmtId="0" fontId="54" fillId="36" borderId="0" xfId="0" applyFont="1" applyFill="1" applyBorder="1" applyAlignment="1"/>
    <xf numFmtId="0" fontId="53" fillId="0" borderId="89" xfId="0" applyFont="1" applyBorder="1" applyAlignment="1">
      <alignment horizontal="center"/>
    </xf>
    <xf numFmtId="4" fontId="53" fillId="0" borderId="90" xfId="0" applyNumberFormat="1" applyFont="1" applyBorder="1" applyAlignment="1">
      <alignment horizontal="center"/>
    </xf>
    <xf numFmtId="4" fontId="54" fillId="0" borderId="90" xfId="0" applyNumberFormat="1" applyFont="1" applyBorder="1" applyAlignment="1">
      <alignment horizontal="center"/>
    </xf>
    <xf numFmtId="0" fontId="54" fillId="0" borderId="90" xfId="0" applyFont="1" applyBorder="1" applyAlignment="1">
      <alignment horizontal="center"/>
    </xf>
    <xf numFmtId="0" fontId="55" fillId="0" borderId="91" xfId="0" applyFont="1" applyBorder="1" applyAlignment="1">
      <alignment horizontal="center"/>
    </xf>
    <xf numFmtId="0" fontId="56" fillId="0" borderId="92" xfId="0" applyFont="1" applyBorder="1" applyAlignment="1">
      <alignment horizontal="center"/>
    </xf>
    <xf numFmtId="0" fontId="56" fillId="0" borderId="93" xfId="0" applyFont="1" applyBorder="1" applyAlignment="1"/>
    <xf numFmtId="0" fontId="56" fillId="0" borderId="94" xfId="0" applyFont="1" applyBorder="1" applyAlignment="1">
      <alignment horizontal="center"/>
    </xf>
    <xf numFmtId="0" fontId="56" fillId="0" borderId="95" xfId="0" applyFont="1" applyBorder="1" applyAlignment="1">
      <alignment horizontal="center"/>
    </xf>
    <xf numFmtId="4" fontId="54" fillId="37" borderId="87" xfId="0" applyNumberFormat="1" applyFont="1" applyFill="1" applyBorder="1" applyAlignment="1">
      <alignment horizontal="center"/>
    </xf>
    <xf numFmtId="0" fontId="57" fillId="36" borderId="0" xfId="0" applyFont="1" applyFill="1" applyBorder="1" applyAlignment="1"/>
    <xf numFmtId="0" fontId="57" fillId="36" borderId="29" xfId="0" applyFont="1" applyFill="1" applyBorder="1" applyAlignment="1"/>
    <xf numFmtId="4" fontId="57" fillId="36" borderId="0" xfId="0" applyNumberFormat="1" applyFont="1" applyFill="1" applyBorder="1" applyAlignment="1"/>
    <xf numFmtId="0" fontId="58" fillId="36" borderId="29" xfId="0" applyFont="1" applyFill="1" applyBorder="1" applyAlignment="1"/>
    <xf numFmtId="40" fontId="57" fillId="36" borderId="0" xfId="0" applyNumberFormat="1" applyFont="1" applyFill="1" applyBorder="1" applyAlignment="1"/>
    <xf numFmtId="40" fontId="57" fillId="36" borderId="30" xfId="0" applyNumberFormat="1" applyFont="1" applyFill="1" applyBorder="1" applyAlignment="1"/>
    <xf numFmtId="0" fontId="57" fillId="36" borderId="30" xfId="0" applyFont="1" applyFill="1" applyBorder="1" applyAlignment="1"/>
    <xf numFmtId="0" fontId="57" fillId="36" borderId="31" xfId="0" applyFont="1" applyFill="1" applyBorder="1" applyAlignment="1"/>
    <xf numFmtId="0" fontId="54" fillId="36" borderId="32" xfId="0" applyFont="1" applyFill="1" applyBorder="1" applyAlignment="1"/>
    <xf numFmtId="0" fontId="57" fillId="36" borderId="32" xfId="0" applyFont="1" applyFill="1" applyBorder="1" applyAlignment="1"/>
    <xf numFmtId="0" fontId="57" fillId="36" borderId="33" xfId="0" applyFont="1" applyFill="1" applyBorder="1" applyAlignment="1"/>
    <xf numFmtId="0" fontId="59" fillId="36" borderId="0" xfId="0" applyFont="1" applyFill="1" applyBorder="1" applyAlignment="1">
      <alignment vertical="center" wrapText="1"/>
    </xf>
    <xf numFmtId="0" fontId="54" fillId="0" borderId="0" xfId="0" applyFont="1"/>
    <xf numFmtId="0" fontId="54" fillId="36" borderId="39" xfId="0" applyFont="1" applyFill="1" applyBorder="1" applyAlignment="1"/>
    <xf numFmtId="0" fontId="54" fillId="36" borderId="40" xfId="0" applyFont="1" applyFill="1" applyBorder="1" applyAlignment="1"/>
    <xf numFmtId="0" fontId="54" fillId="36" borderId="41" xfId="0" applyFont="1" applyFill="1" applyBorder="1" applyAlignment="1"/>
    <xf numFmtId="0" fontId="54" fillId="36" borderId="86" xfId="0" applyFont="1" applyFill="1" applyBorder="1" applyAlignment="1">
      <alignment horizontal="center"/>
    </xf>
    <xf numFmtId="1" fontId="54" fillId="36" borderId="96" xfId="0" applyNumberFormat="1" applyFont="1" applyFill="1" applyBorder="1" applyAlignment="1">
      <alignment horizontal="left"/>
    </xf>
    <xf numFmtId="0" fontId="54" fillId="36" borderId="97" xfId="0" applyFont="1" applyFill="1" applyBorder="1"/>
    <xf numFmtId="0" fontId="54" fillId="36" borderId="98" xfId="0" applyFont="1" applyFill="1" applyBorder="1"/>
    <xf numFmtId="4" fontId="54" fillId="36" borderId="87" xfId="0" applyNumberFormat="1" applyFont="1" applyFill="1" applyBorder="1" applyAlignment="1">
      <alignment horizontal="center"/>
    </xf>
    <xf numFmtId="0" fontId="54" fillId="36" borderId="87" xfId="0" applyFont="1" applyFill="1" applyBorder="1" applyAlignment="1">
      <alignment horizontal="center"/>
    </xf>
    <xf numFmtId="0" fontId="55" fillId="36" borderId="88" xfId="0" applyFont="1" applyFill="1" applyBorder="1" applyAlignment="1">
      <alignment horizontal="center"/>
    </xf>
    <xf numFmtId="0" fontId="54" fillId="36" borderId="0" xfId="0" applyFont="1" applyFill="1"/>
    <xf numFmtId="0" fontId="54" fillId="38" borderId="86" xfId="0" applyFont="1" applyFill="1" applyBorder="1" applyAlignment="1">
      <alignment horizontal="center"/>
    </xf>
    <xf numFmtId="4" fontId="54" fillId="38" borderId="87" xfId="0" applyNumberFormat="1" applyFont="1" applyFill="1" applyBorder="1" applyAlignment="1">
      <alignment horizontal="center"/>
    </xf>
    <xf numFmtId="4" fontId="53" fillId="38" borderId="87" xfId="0" applyNumberFormat="1" applyFont="1" applyFill="1" applyBorder="1" applyAlignment="1">
      <alignment horizontal="center"/>
    </xf>
    <xf numFmtId="0" fontId="54" fillId="38" borderId="87" xfId="0" applyFont="1" applyFill="1" applyBorder="1" applyAlignment="1">
      <alignment horizontal="center"/>
    </xf>
    <xf numFmtId="0" fontId="55" fillId="38" borderId="88" xfId="0" applyFont="1" applyFill="1" applyBorder="1" applyAlignment="1">
      <alignment horizontal="center"/>
    </xf>
    <xf numFmtId="0" fontId="60" fillId="38" borderId="86" xfId="0" applyFont="1" applyFill="1" applyBorder="1" applyAlignment="1">
      <alignment horizontal="center"/>
    </xf>
    <xf numFmtId="4" fontId="60" fillId="38" borderId="87" xfId="0" applyNumberFormat="1" applyFont="1" applyFill="1" applyBorder="1" applyAlignment="1">
      <alignment horizontal="center"/>
    </xf>
    <xf numFmtId="4" fontId="61" fillId="38" borderId="87" xfId="0" applyNumberFormat="1" applyFont="1" applyFill="1" applyBorder="1" applyAlignment="1">
      <alignment horizontal="center"/>
    </xf>
    <xf numFmtId="0" fontId="60" fillId="38" borderId="87" xfId="0" applyFont="1" applyFill="1" applyBorder="1" applyAlignment="1">
      <alignment horizontal="center"/>
    </xf>
    <xf numFmtId="0" fontId="52" fillId="38" borderId="88" xfId="0" applyFont="1" applyFill="1" applyBorder="1" applyAlignment="1">
      <alignment horizontal="center"/>
    </xf>
    <xf numFmtId="0" fontId="54" fillId="0" borderId="0" xfId="0" applyFont="1" applyAlignment="1">
      <alignment vertical="center"/>
    </xf>
    <xf numFmtId="0" fontId="56" fillId="0" borderId="92" xfId="0" applyFont="1" applyBorder="1" applyAlignment="1">
      <alignment horizontal="center" vertical="center"/>
    </xf>
    <xf numFmtId="0" fontId="56" fillId="0" borderId="93" xfId="0" applyFont="1" applyBorder="1" applyAlignment="1">
      <alignment vertical="center"/>
    </xf>
    <xf numFmtId="0" fontId="56" fillId="0" borderId="94" xfId="0" applyFont="1" applyBorder="1" applyAlignment="1">
      <alignment horizontal="center" vertical="center"/>
    </xf>
    <xf numFmtId="0" fontId="56" fillId="0" borderId="95" xfId="0" applyFont="1" applyBorder="1" applyAlignment="1">
      <alignment horizontal="center" vertical="center"/>
    </xf>
    <xf numFmtId="0" fontId="53" fillId="0" borderId="89" xfId="0" applyFont="1" applyBorder="1" applyAlignment="1">
      <alignment horizontal="center" vertical="center"/>
    </xf>
    <xf numFmtId="4" fontId="53" fillId="0" borderId="90" xfId="0" applyNumberFormat="1" applyFont="1" applyBorder="1" applyAlignment="1">
      <alignment horizontal="center" vertical="center"/>
    </xf>
    <xf numFmtId="4" fontId="54" fillId="0" borderId="90" xfId="0" applyNumberFormat="1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5" fillId="0" borderId="91" xfId="0" applyFont="1" applyBorder="1" applyAlignment="1">
      <alignment horizontal="center" vertical="center"/>
    </xf>
    <xf numFmtId="0" fontId="54" fillId="0" borderId="86" xfId="0" applyFont="1" applyBorder="1" applyAlignment="1">
      <alignment horizontal="center" vertical="center"/>
    </xf>
    <xf numFmtId="4" fontId="54" fillId="0" borderId="87" xfId="0" applyNumberFormat="1" applyFont="1" applyBorder="1" applyAlignment="1">
      <alignment horizontal="center" vertical="center"/>
    </xf>
    <xf numFmtId="0" fontId="54" fillId="0" borderId="87" xfId="0" applyFont="1" applyBorder="1" applyAlignment="1">
      <alignment horizontal="center" vertical="center"/>
    </xf>
    <xf numFmtId="0" fontId="55" fillId="0" borderId="88" xfId="0" applyFont="1" applyBorder="1" applyAlignment="1">
      <alignment horizontal="center" vertical="center"/>
    </xf>
    <xf numFmtId="0" fontId="54" fillId="36" borderId="86" xfId="0" applyFont="1" applyFill="1" applyBorder="1" applyAlignment="1">
      <alignment horizontal="center" vertical="center"/>
    </xf>
    <xf numFmtId="1" fontId="54" fillId="36" borderId="96" xfId="0" applyNumberFormat="1" applyFont="1" applyFill="1" applyBorder="1" applyAlignment="1">
      <alignment horizontal="left" vertical="center"/>
    </xf>
    <xf numFmtId="0" fontId="54" fillId="36" borderId="97" xfId="0" applyFont="1" applyFill="1" applyBorder="1" applyAlignment="1">
      <alignment vertical="center"/>
    </xf>
    <xf numFmtId="0" fontId="54" fillId="36" borderId="98" xfId="0" applyFont="1" applyFill="1" applyBorder="1" applyAlignment="1">
      <alignment vertical="center"/>
    </xf>
    <xf numFmtId="4" fontId="54" fillId="36" borderId="87" xfId="0" applyNumberFormat="1" applyFont="1" applyFill="1" applyBorder="1" applyAlignment="1">
      <alignment horizontal="center" vertical="center"/>
    </xf>
    <xf numFmtId="0" fontId="54" fillId="36" borderId="87" xfId="0" applyFont="1" applyFill="1" applyBorder="1" applyAlignment="1">
      <alignment horizontal="center" vertical="center"/>
    </xf>
    <xf numFmtId="0" fontId="55" fillId="36" borderId="88" xfId="0" applyFont="1" applyFill="1" applyBorder="1" applyAlignment="1">
      <alignment horizontal="center" vertical="center"/>
    </xf>
    <xf numFmtId="0" fontId="54" fillId="36" borderId="0" xfId="0" applyFont="1" applyFill="1" applyAlignment="1">
      <alignment vertical="center"/>
    </xf>
    <xf numFmtId="0" fontId="54" fillId="38" borderId="86" xfId="0" applyFont="1" applyFill="1" applyBorder="1" applyAlignment="1">
      <alignment horizontal="center" vertical="center"/>
    </xf>
    <xf numFmtId="4" fontId="54" fillId="38" borderId="87" xfId="0" applyNumberFormat="1" applyFont="1" applyFill="1" applyBorder="1" applyAlignment="1">
      <alignment horizontal="center" vertical="center"/>
    </xf>
    <xf numFmtId="4" fontId="53" fillId="38" borderId="87" xfId="0" applyNumberFormat="1" applyFont="1" applyFill="1" applyBorder="1" applyAlignment="1">
      <alignment horizontal="center" vertical="center"/>
    </xf>
    <xf numFmtId="0" fontId="54" fillId="38" borderId="87" xfId="0" applyFont="1" applyFill="1" applyBorder="1" applyAlignment="1">
      <alignment horizontal="center" vertical="center"/>
    </xf>
    <xf numFmtId="0" fontId="55" fillId="38" borderId="88" xfId="0" applyFont="1" applyFill="1" applyBorder="1" applyAlignment="1">
      <alignment horizontal="center" vertical="center"/>
    </xf>
    <xf numFmtId="0" fontId="53" fillId="0" borderId="86" xfId="0" applyFont="1" applyBorder="1" applyAlignment="1">
      <alignment horizontal="center" vertical="center"/>
    </xf>
    <xf numFmtId="4" fontId="53" fillId="0" borderId="87" xfId="0" applyNumberFormat="1" applyFont="1" applyBorder="1" applyAlignment="1">
      <alignment horizontal="center" vertical="center"/>
    </xf>
    <xf numFmtId="0" fontId="60" fillId="38" borderId="86" xfId="0" applyFont="1" applyFill="1" applyBorder="1" applyAlignment="1">
      <alignment horizontal="center" vertical="center"/>
    </xf>
    <xf numFmtId="4" fontId="60" fillId="38" borderId="87" xfId="0" applyNumberFormat="1" applyFont="1" applyFill="1" applyBorder="1" applyAlignment="1">
      <alignment horizontal="center" vertical="center"/>
    </xf>
    <xf numFmtId="4" fontId="61" fillId="38" borderId="87" xfId="0" applyNumberFormat="1" applyFont="1" applyFill="1" applyBorder="1" applyAlignment="1">
      <alignment horizontal="center" vertical="center"/>
    </xf>
    <xf numFmtId="0" fontId="60" fillId="38" borderId="87" xfId="0" applyFont="1" applyFill="1" applyBorder="1" applyAlignment="1">
      <alignment horizontal="center" vertical="center"/>
    </xf>
    <xf numFmtId="0" fontId="52" fillId="38" borderId="88" xfId="0" applyFont="1" applyFill="1" applyBorder="1" applyAlignment="1">
      <alignment horizontal="center" vertical="center"/>
    </xf>
    <xf numFmtId="165" fontId="54" fillId="0" borderId="87" xfId="0" applyNumberFormat="1" applyFont="1" applyBorder="1" applyAlignment="1">
      <alignment horizontal="center" vertical="center"/>
    </xf>
    <xf numFmtId="4" fontId="54" fillId="37" borderId="87" xfId="0" applyNumberFormat="1" applyFont="1" applyFill="1" applyBorder="1" applyAlignment="1">
      <alignment horizontal="center" vertical="center"/>
    </xf>
    <xf numFmtId="4" fontId="54" fillId="0" borderId="87" xfId="0" applyNumberFormat="1" applyFont="1" applyBorder="1" applyAlignment="1">
      <alignment horizontal="right" vertical="center"/>
    </xf>
    <xf numFmtId="4" fontId="54" fillId="0" borderId="87" xfId="0" applyNumberFormat="1" applyFont="1" applyBorder="1" applyAlignment="1">
      <alignment vertical="center"/>
    </xf>
    <xf numFmtId="0" fontId="54" fillId="0" borderId="87" xfId="0" applyFont="1" applyBorder="1" applyAlignment="1">
      <alignment vertical="center"/>
    </xf>
    <xf numFmtId="0" fontId="54" fillId="0" borderId="88" xfId="0" applyFont="1" applyBorder="1" applyAlignment="1">
      <alignment vertical="center"/>
    </xf>
    <xf numFmtId="0" fontId="54" fillId="36" borderId="39" xfId="0" applyFont="1" applyFill="1" applyBorder="1" applyAlignment="1">
      <alignment vertical="center"/>
    </xf>
    <xf numFmtId="0" fontId="54" fillId="36" borderId="32" xfId="0" applyFont="1" applyFill="1" applyBorder="1" applyAlignment="1">
      <alignment vertical="center"/>
    </xf>
    <xf numFmtId="0" fontId="57" fillId="36" borderId="32" xfId="0" applyFont="1" applyFill="1" applyBorder="1" applyAlignment="1">
      <alignment vertical="center"/>
    </xf>
    <xf numFmtId="0" fontId="57" fillId="36" borderId="33" xfId="0" applyFont="1" applyFill="1" applyBorder="1" applyAlignment="1">
      <alignment vertical="center"/>
    </xf>
    <xf numFmtId="0" fontId="54" fillId="36" borderId="40" xfId="0" applyFont="1" applyFill="1" applyBorder="1" applyAlignment="1">
      <alignment vertical="center"/>
    </xf>
    <xf numFmtId="0" fontId="54" fillId="36" borderId="0" xfId="0" applyFont="1" applyFill="1" applyBorder="1" applyAlignment="1">
      <alignment vertical="center"/>
    </xf>
    <xf numFmtId="0" fontId="57" fillId="36" borderId="0" xfId="0" applyFont="1" applyFill="1" applyBorder="1" applyAlignment="1">
      <alignment vertical="center"/>
    </xf>
    <xf numFmtId="4" fontId="57" fillId="36" borderId="0" xfId="0" applyNumberFormat="1" applyFont="1" applyFill="1" applyBorder="1" applyAlignment="1">
      <alignment vertical="center"/>
    </xf>
    <xf numFmtId="0" fontId="57" fillId="36" borderId="29" xfId="0" applyFont="1" applyFill="1" applyBorder="1" applyAlignment="1">
      <alignment vertical="center"/>
    </xf>
    <xf numFmtId="0" fontId="58" fillId="36" borderId="29" xfId="0" applyFont="1" applyFill="1" applyBorder="1" applyAlignment="1">
      <alignment vertical="center"/>
    </xf>
    <xf numFmtId="40" fontId="57" fillId="36" borderId="0" xfId="0" applyNumberFormat="1" applyFont="1" applyFill="1" applyBorder="1" applyAlignment="1">
      <alignment vertical="center"/>
    </xf>
    <xf numFmtId="0" fontId="54" fillId="36" borderId="41" xfId="0" applyFont="1" applyFill="1" applyBorder="1" applyAlignment="1">
      <alignment vertical="center"/>
    </xf>
    <xf numFmtId="0" fontId="57" fillId="36" borderId="30" xfId="0" applyFont="1" applyFill="1" applyBorder="1" applyAlignment="1">
      <alignment vertical="center"/>
    </xf>
    <xf numFmtId="40" fontId="57" fillId="36" borderId="30" xfId="0" applyNumberFormat="1" applyFont="1" applyFill="1" applyBorder="1" applyAlignment="1">
      <alignment vertical="center"/>
    </xf>
    <xf numFmtId="0" fontId="57" fillId="36" borderId="31" xfId="0" applyFont="1" applyFill="1" applyBorder="1" applyAlignment="1">
      <alignment vertical="center"/>
    </xf>
    <xf numFmtId="0" fontId="54" fillId="36" borderId="0" xfId="0" applyFont="1" applyFill="1" applyAlignment="1">
      <alignment horizontal="center" vertical="center"/>
    </xf>
    <xf numFmtId="169" fontId="54" fillId="36" borderId="0" xfId="0" applyNumberFormat="1" applyFont="1" applyFill="1" applyAlignment="1">
      <alignment vertical="center"/>
    </xf>
    <xf numFmtId="4" fontId="54" fillId="36" borderId="0" xfId="0" applyNumberFormat="1" applyFont="1" applyFill="1" applyAlignment="1">
      <alignment vertical="center"/>
    </xf>
    <xf numFmtId="0" fontId="55" fillId="36" borderId="0" xfId="0" applyFont="1" applyFill="1" applyAlignment="1">
      <alignment horizontal="right" vertical="center"/>
    </xf>
    <xf numFmtId="0" fontId="55" fillId="36" borderId="0" xfId="0" applyFont="1" applyFill="1" applyAlignment="1">
      <alignment vertical="center"/>
    </xf>
    <xf numFmtId="3" fontId="55" fillId="36" borderId="44" xfId="0" applyNumberFormat="1" applyFont="1" applyFill="1" applyBorder="1" applyAlignment="1">
      <alignment horizontal="right" vertical="center"/>
    </xf>
    <xf numFmtId="3" fontId="55" fillId="36" borderId="45" xfId="0" quotePrefix="1" applyNumberFormat="1" applyFont="1" applyFill="1" applyBorder="1" applyAlignment="1">
      <alignment horizontal="center" vertical="center"/>
    </xf>
    <xf numFmtId="169" fontId="55" fillId="36" borderId="46" xfId="0" applyNumberFormat="1" applyFont="1" applyFill="1" applyBorder="1" applyAlignment="1">
      <alignment horizontal="center" vertical="center"/>
    </xf>
    <xf numFmtId="3" fontId="55" fillId="36" borderId="44" xfId="0" applyNumberFormat="1" applyFont="1" applyFill="1" applyBorder="1" applyAlignment="1">
      <alignment horizontal="center" vertical="center"/>
    </xf>
    <xf numFmtId="3" fontId="55" fillId="36" borderId="45" xfId="0" applyNumberFormat="1" applyFont="1" applyFill="1" applyBorder="1" applyAlignment="1">
      <alignment horizontal="center" vertical="center"/>
    </xf>
    <xf numFmtId="169" fontId="55" fillId="36" borderId="46" xfId="0" applyNumberFormat="1" applyFont="1" applyFill="1" applyBorder="1" applyAlignment="1">
      <alignment horizontal="right" vertical="center"/>
    </xf>
    <xf numFmtId="179" fontId="55" fillId="36" borderId="22" xfId="1040" applyNumberFormat="1" applyFont="1" applyFill="1" applyBorder="1" applyAlignment="1">
      <alignment horizontal="right" vertical="center"/>
    </xf>
    <xf numFmtId="165" fontId="55" fillId="36" borderId="22" xfId="1040" applyFont="1" applyFill="1" applyBorder="1" applyAlignment="1">
      <alignment horizontal="right" vertical="center"/>
    </xf>
    <xf numFmtId="169" fontId="55" fillId="36" borderId="22" xfId="359" applyNumberFormat="1" applyFont="1" applyFill="1" applyBorder="1" applyAlignment="1">
      <alignment horizontal="right" vertical="center"/>
    </xf>
    <xf numFmtId="169" fontId="55" fillId="36" borderId="22" xfId="0" applyNumberFormat="1" applyFont="1" applyFill="1" applyBorder="1" applyAlignment="1">
      <alignment horizontal="right" vertical="center"/>
    </xf>
    <xf numFmtId="169" fontId="55" fillId="36" borderId="24" xfId="0" applyNumberFormat="1" applyFont="1" applyFill="1" applyBorder="1" applyAlignment="1">
      <alignment horizontal="right" vertical="center"/>
    </xf>
    <xf numFmtId="2" fontId="55" fillId="36" borderId="0" xfId="0" applyNumberFormat="1" applyFont="1" applyFill="1" applyAlignment="1">
      <alignment vertical="center"/>
    </xf>
    <xf numFmtId="3" fontId="55" fillId="36" borderId="47" xfId="0" applyNumberFormat="1" applyFont="1" applyFill="1" applyBorder="1" applyAlignment="1">
      <alignment horizontal="center" vertical="center"/>
    </xf>
    <xf numFmtId="179" fontId="55" fillId="36" borderId="24" xfId="1040" applyNumberFormat="1" applyFont="1" applyFill="1" applyBorder="1" applyAlignment="1">
      <alignment horizontal="right" vertical="center"/>
    </xf>
    <xf numFmtId="165" fontId="55" fillId="36" borderId="24" xfId="1040" applyFont="1" applyFill="1" applyBorder="1" applyAlignment="1">
      <alignment horizontal="right" vertical="center"/>
    </xf>
    <xf numFmtId="169" fontId="62" fillId="36" borderId="24" xfId="359" applyNumberFormat="1" applyFont="1" applyFill="1" applyBorder="1" applyAlignment="1">
      <alignment horizontal="right" vertical="center"/>
    </xf>
    <xf numFmtId="3" fontId="55" fillId="36" borderId="49" xfId="0" applyNumberFormat="1" applyFont="1" applyFill="1" applyBorder="1" applyAlignment="1">
      <alignment horizontal="right" vertical="center"/>
    </xf>
    <xf numFmtId="3" fontId="55" fillId="36" borderId="50" xfId="0" quotePrefix="1" applyNumberFormat="1" applyFont="1" applyFill="1" applyBorder="1" applyAlignment="1">
      <alignment horizontal="center" vertical="center"/>
    </xf>
    <xf numFmtId="169" fontId="55" fillId="36" borderId="27" xfId="0" applyNumberFormat="1" applyFont="1" applyFill="1" applyBorder="1" applyAlignment="1">
      <alignment horizontal="center" vertical="center"/>
    </xf>
    <xf numFmtId="3" fontId="55" fillId="36" borderId="51" xfId="0" applyNumberFormat="1" applyFont="1" applyFill="1" applyBorder="1" applyAlignment="1">
      <alignment horizontal="right" vertical="center"/>
    </xf>
    <xf numFmtId="3" fontId="55" fillId="36" borderId="0" xfId="0" applyNumberFormat="1" applyFont="1" applyFill="1" applyBorder="1" applyAlignment="1">
      <alignment horizontal="center" vertical="center"/>
    </xf>
    <xf numFmtId="169" fontId="55" fillId="36" borderId="52" xfId="0" applyNumberFormat="1" applyFont="1" applyFill="1" applyBorder="1" applyAlignment="1">
      <alignment horizontal="center" vertical="center"/>
    </xf>
    <xf numFmtId="3" fontId="56" fillId="36" borderId="53" xfId="0" applyNumberFormat="1" applyFont="1" applyFill="1" applyBorder="1" applyAlignment="1">
      <alignment horizontal="left" vertical="center"/>
    </xf>
    <xf numFmtId="3" fontId="55" fillId="36" borderId="54" xfId="0" applyNumberFormat="1" applyFont="1" applyFill="1" applyBorder="1" applyAlignment="1">
      <alignment horizontal="center" vertical="center"/>
    </xf>
    <xf numFmtId="3" fontId="55" fillId="36" borderId="55" xfId="0" quotePrefix="1" applyNumberFormat="1" applyFont="1" applyFill="1" applyBorder="1" applyAlignment="1">
      <alignment horizontal="center" vertical="center"/>
    </xf>
    <xf numFmtId="169" fontId="55" fillId="36" borderId="56" xfId="0" applyNumberFormat="1" applyFont="1" applyFill="1" applyBorder="1" applyAlignment="1">
      <alignment horizontal="center" vertical="center"/>
    </xf>
    <xf numFmtId="3" fontId="55" fillId="36" borderId="55" xfId="0" applyNumberFormat="1" applyFont="1" applyFill="1" applyBorder="1" applyAlignment="1">
      <alignment horizontal="center" vertical="center"/>
    </xf>
    <xf numFmtId="169" fontId="56" fillId="36" borderId="57" xfId="1040" applyNumberFormat="1" applyFont="1" applyFill="1" applyBorder="1" applyAlignment="1">
      <alignment horizontal="right" vertical="center"/>
    </xf>
    <xf numFmtId="165" fontId="56" fillId="36" borderId="57" xfId="1040" applyFont="1" applyFill="1" applyBorder="1" applyAlignment="1">
      <alignment horizontal="right" vertical="center"/>
    </xf>
    <xf numFmtId="169" fontId="56" fillId="36" borderId="58" xfId="1040" applyNumberFormat="1" applyFont="1" applyFill="1" applyBorder="1" applyAlignment="1">
      <alignment horizontal="right" vertical="center"/>
    </xf>
    <xf numFmtId="0" fontId="55" fillId="36" borderId="0" xfId="0" applyFont="1" applyFill="1" applyAlignment="1">
      <alignment horizontal="center" vertical="center"/>
    </xf>
    <xf numFmtId="169" fontId="55" fillId="36" borderId="0" xfId="0" applyNumberFormat="1" applyFont="1" applyFill="1" applyAlignment="1">
      <alignment horizontal="center" vertical="center"/>
    </xf>
    <xf numFmtId="169" fontId="55" fillId="36" borderId="0" xfId="0" applyNumberFormat="1" applyFont="1" applyFill="1" applyAlignment="1">
      <alignment vertical="center"/>
    </xf>
    <xf numFmtId="169" fontId="55" fillId="36" borderId="0" xfId="0" applyNumberFormat="1" applyFont="1" applyFill="1" applyAlignment="1">
      <alignment horizontal="right" vertical="center"/>
    </xf>
    <xf numFmtId="179" fontId="55" fillId="36" borderId="0" xfId="0" applyNumberFormat="1" applyFont="1" applyFill="1" applyAlignment="1">
      <alignment vertical="center"/>
    </xf>
    <xf numFmtId="4" fontId="55" fillId="36" borderId="0" xfId="0" applyNumberFormat="1" applyFont="1" applyFill="1" applyAlignment="1">
      <alignment vertical="center"/>
    </xf>
    <xf numFmtId="3" fontId="63" fillId="36" borderId="34" xfId="0" applyNumberFormat="1" applyFont="1" applyFill="1" applyBorder="1" applyAlignment="1">
      <alignment horizontal="left" vertical="center" wrapText="1"/>
    </xf>
    <xf numFmtId="0" fontId="53" fillId="0" borderId="24" xfId="0" applyFont="1" applyBorder="1" applyAlignment="1">
      <alignment horizontal="center" vertical="center"/>
    </xf>
    <xf numFmtId="4" fontId="53" fillId="36" borderId="24" xfId="0" applyNumberFormat="1" applyFont="1" applyFill="1" applyBorder="1" applyAlignment="1">
      <alignment horizontal="center" vertical="center"/>
    </xf>
    <xf numFmtId="4" fontId="54" fillId="36" borderId="24" xfId="0" applyNumberFormat="1" applyFont="1" applyFill="1" applyBorder="1" applyAlignment="1">
      <alignment horizontal="center" vertical="center"/>
    </xf>
    <xf numFmtId="0" fontId="54" fillId="36" borderId="60" xfId="0" applyFont="1" applyFill="1" applyBorder="1" applyAlignment="1">
      <alignment horizontal="left" vertical="center"/>
    </xf>
    <xf numFmtId="0" fontId="54" fillId="36" borderId="27" xfId="0" applyNumberFormat="1" applyFont="1" applyFill="1" applyBorder="1" applyAlignment="1">
      <alignment horizontal="left" vertical="center"/>
    </xf>
    <xf numFmtId="0" fontId="54" fillId="36" borderId="0" xfId="0" applyNumberFormat="1" applyFont="1" applyFill="1" applyAlignment="1">
      <alignment vertical="center"/>
    </xf>
    <xf numFmtId="0" fontId="64" fillId="36" borderId="61" xfId="0" applyNumberFormat="1" applyFont="1" applyFill="1" applyBorder="1" applyAlignment="1">
      <alignment horizontal="center" vertical="center"/>
    </xf>
    <xf numFmtId="0" fontId="64" fillId="36" borderId="49" xfId="0" applyNumberFormat="1" applyFont="1" applyFill="1" applyBorder="1" applyAlignment="1">
      <alignment horizontal="center" vertical="center"/>
    </xf>
    <xf numFmtId="0" fontId="64" fillId="36" borderId="35" xfId="0" applyNumberFormat="1" applyFont="1" applyFill="1" applyBorder="1" applyAlignment="1">
      <alignment horizontal="center" vertical="center" wrapText="1"/>
    </xf>
    <xf numFmtId="4" fontId="54" fillId="36" borderId="62" xfId="0" applyNumberFormat="1" applyFont="1" applyFill="1" applyBorder="1" applyAlignment="1">
      <alignment vertical="center"/>
    </xf>
    <xf numFmtId="4" fontId="64" fillId="36" borderId="63" xfId="0" applyNumberFormat="1" applyFont="1" applyFill="1" applyBorder="1" applyAlignment="1">
      <alignment vertical="center"/>
    </xf>
    <xf numFmtId="4" fontId="54" fillId="36" borderId="64" xfId="0" applyNumberFormat="1" applyFont="1" applyFill="1" applyBorder="1" applyAlignment="1">
      <alignment vertical="center"/>
    </xf>
    <xf numFmtId="171" fontId="53" fillId="36" borderId="35" xfId="1040" applyNumberFormat="1" applyFont="1" applyFill="1" applyBorder="1" applyAlignment="1">
      <alignment horizontal="right" vertical="center"/>
    </xf>
    <xf numFmtId="165" fontId="53" fillId="36" borderId="35" xfId="1040" applyFont="1" applyFill="1" applyBorder="1" applyAlignment="1">
      <alignment vertical="center"/>
    </xf>
    <xf numFmtId="165" fontId="53" fillId="36" borderId="65" xfId="1040" applyFont="1" applyFill="1" applyBorder="1" applyAlignment="1">
      <alignment vertical="center"/>
    </xf>
    <xf numFmtId="0" fontId="53" fillId="36" borderId="0" xfId="0" applyFont="1" applyFill="1" applyAlignment="1">
      <alignment vertical="center"/>
    </xf>
    <xf numFmtId="0" fontId="53" fillId="36" borderId="0" xfId="0" applyFont="1" applyFill="1" applyAlignment="1">
      <alignment vertical="center" wrapText="1"/>
    </xf>
    <xf numFmtId="0" fontId="53" fillId="36" borderId="36" xfId="0" applyFont="1" applyFill="1" applyBorder="1" applyAlignment="1">
      <alignment vertical="center"/>
    </xf>
    <xf numFmtId="0" fontId="59" fillId="36" borderId="0" xfId="0" applyFont="1" applyFill="1" applyAlignment="1">
      <alignment horizontal="left" vertical="center"/>
    </xf>
    <xf numFmtId="0" fontId="54" fillId="36" borderId="61" xfId="0" applyNumberFormat="1" applyFont="1" applyFill="1" applyBorder="1" applyAlignment="1">
      <alignment horizontal="left" vertical="center"/>
    </xf>
    <xf numFmtId="0" fontId="53" fillId="36" borderId="61" xfId="0" applyNumberFormat="1" applyFont="1" applyFill="1" applyBorder="1" applyAlignment="1">
      <alignment horizontal="left" vertical="center"/>
    </xf>
    <xf numFmtId="0" fontId="53" fillId="36" borderId="66" xfId="0" applyNumberFormat="1" applyFont="1" applyFill="1" applyBorder="1" applyAlignment="1">
      <alignment horizontal="left" vertical="center"/>
    </xf>
    <xf numFmtId="0" fontId="53" fillId="36" borderId="29" xfId="0" applyNumberFormat="1" applyFont="1" applyFill="1" applyBorder="1" applyAlignment="1">
      <alignment horizontal="left" vertical="center"/>
    </xf>
    <xf numFmtId="0" fontId="53" fillId="36" borderId="67" xfId="0" applyNumberFormat="1" applyFont="1" applyFill="1" applyBorder="1" applyAlignment="1">
      <alignment horizontal="left" vertical="center"/>
    </xf>
    <xf numFmtId="169" fontId="54" fillId="36" borderId="35" xfId="415" applyNumberFormat="1" applyFont="1" applyFill="1" applyBorder="1" applyAlignment="1">
      <alignment horizontal="right" vertical="center"/>
    </xf>
    <xf numFmtId="0" fontId="54" fillId="36" borderId="24" xfId="415" applyFont="1" applyFill="1" applyBorder="1" applyAlignment="1">
      <alignment horizontal="left" vertical="center"/>
    </xf>
    <xf numFmtId="0" fontId="64" fillId="36" borderId="25" xfId="0" applyFont="1" applyFill="1" applyBorder="1" applyAlignment="1">
      <alignment horizontal="left" vertical="center"/>
    </xf>
    <xf numFmtId="0" fontId="64" fillId="36" borderId="26" xfId="0" applyFont="1" applyFill="1" applyBorder="1" applyAlignment="1">
      <alignment horizontal="left" vertical="center"/>
    </xf>
    <xf numFmtId="0" fontId="64" fillId="36" borderId="48" xfId="0" applyFont="1" applyFill="1" applyBorder="1" applyAlignment="1">
      <alignment horizontal="left" vertical="center"/>
    </xf>
    <xf numFmtId="0" fontId="54" fillId="36" borderId="50" xfId="0" applyFont="1" applyFill="1" applyBorder="1" applyAlignment="1" applyProtection="1">
      <alignment vertical="center"/>
    </xf>
    <xf numFmtId="165" fontId="54" fillId="36" borderId="24" xfId="0" applyNumberFormat="1" applyFont="1" applyFill="1" applyBorder="1" applyAlignment="1">
      <alignment vertical="center"/>
    </xf>
    <xf numFmtId="0" fontId="54" fillId="36" borderId="24" xfId="0" applyFont="1" applyFill="1" applyBorder="1" applyAlignment="1">
      <alignment horizontal="center" vertical="center" wrapText="1"/>
    </xf>
    <xf numFmtId="0" fontId="54" fillId="36" borderId="22" xfId="0" applyFont="1" applyFill="1" applyBorder="1" applyAlignment="1">
      <alignment horizontal="center" vertical="center" wrapText="1"/>
    </xf>
    <xf numFmtId="0" fontId="54" fillId="36" borderId="22" xfId="0" applyFont="1" applyFill="1" applyBorder="1" applyAlignment="1">
      <alignment horizontal="center" vertical="center"/>
    </xf>
    <xf numFmtId="0" fontId="65" fillId="36" borderId="22" xfId="0" applyFont="1" applyFill="1" applyBorder="1" applyAlignment="1">
      <alignment horizontal="center" vertical="center" wrapText="1"/>
    </xf>
    <xf numFmtId="0" fontId="54" fillId="36" borderId="24" xfId="0" applyFont="1" applyFill="1" applyBorder="1" applyAlignment="1">
      <alignment horizontal="center" vertical="center"/>
    </xf>
    <xf numFmtId="0" fontId="65" fillId="36" borderId="24" xfId="0" applyFont="1" applyFill="1" applyBorder="1" applyAlignment="1">
      <alignment horizontal="center" vertical="center" wrapText="1"/>
    </xf>
    <xf numFmtId="0" fontId="54" fillId="36" borderId="24" xfId="0" applyFont="1" applyFill="1" applyBorder="1" applyAlignment="1">
      <alignment horizontal="left" vertical="center" wrapText="1"/>
    </xf>
    <xf numFmtId="171" fontId="54" fillId="36" borderId="24" xfId="1040" applyNumberFormat="1" applyFont="1" applyFill="1" applyBorder="1" applyAlignment="1">
      <alignment horizontal="center" vertical="center"/>
    </xf>
    <xf numFmtId="165" fontId="54" fillId="36" borderId="24" xfId="1040" applyFont="1" applyFill="1" applyBorder="1" applyAlignment="1">
      <alignment vertical="center"/>
    </xf>
    <xf numFmtId="0" fontId="54" fillId="36" borderId="24" xfId="0" applyFont="1" applyFill="1" applyBorder="1" applyAlignment="1">
      <alignment vertical="center"/>
    </xf>
    <xf numFmtId="165" fontId="53" fillId="36" borderId="24" xfId="0" applyNumberFormat="1" applyFont="1" applyFill="1" applyBorder="1" applyAlignment="1">
      <alignment vertical="center"/>
    </xf>
    <xf numFmtId="0" fontId="54" fillId="36" borderId="49" xfId="0" applyFont="1" applyFill="1" applyBorder="1" applyAlignment="1">
      <alignment horizontal="center" vertical="center"/>
    </xf>
    <xf numFmtId="0" fontId="54" fillId="36" borderId="50" xfId="0" applyFont="1" applyFill="1" applyBorder="1" applyAlignment="1">
      <alignment horizontal="center" vertical="center"/>
    </xf>
    <xf numFmtId="0" fontId="54" fillId="36" borderId="27" xfId="0" applyFont="1" applyFill="1" applyBorder="1" applyAlignment="1">
      <alignment horizontal="center" vertical="center"/>
    </xf>
    <xf numFmtId="169" fontId="54" fillId="36" borderId="24" xfId="1040" applyNumberFormat="1" applyFont="1" applyFill="1" applyBorder="1" applyAlignment="1">
      <alignment horizontal="center" vertical="center"/>
    </xf>
    <xf numFmtId="0" fontId="54" fillId="36" borderId="50" xfId="0" applyFont="1" applyFill="1" applyBorder="1" applyAlignment="1">
      <alignment vertical="center"/>
    </xf>
    <xf numFmtId="0" fontId="64" fillId="36" borderId="49" xfId="0" applyFont="1" applyFill="1" applyBorder="1" applyAlignment="1">
      <alignment horizontal="center" vertical="center"/>
    </xf>
    <xf numFmtId="0" fontId="64" fillId="36" borderId="50" xfId="0" applyFont="1" applyFill="1" applyBorder="1" applyAlignment="1">
      <alignment vertical="center"/>
    </xf>
    <xf numFmtId="0" fontId="53" fillId="36" borderId="50" xfId="0" applyFont="1" applyFill="1" applyBorder="1" applyAlignment="1">
      <alignment vertical="center"/>
    </xf>
    <xf numFmtId="0" fontId="53" fillId="36" borderId="27" xfId="0" applyFont="1" applyFill="1" applyBorder="1" applyAlignment="1">
      <alignment vertical="center"/>
    </xf>
    <xf numFmtId="0" fontId="53" fillId="36" borderId="24" xfId="0" applyFont="1" applyFill="1" applyBorder="1" applyAlignment="1">
      <alignment horizontal="left" vertical="center"/>
    </xf>
    <xf numFmtId="0" fontId="54" fillId="36" borderId="24" xfId="0" applyFont="1" applyFill="1" applyBorder="1" applyAlignment="1">
      <alignment vertical="center" wrapText="1"/>
    </xf>
    <xf numFmtId="169" fontId="54" fillId="36" borderId="24" xfId="0" applyNumberFormat="1" applyFont="1" applyFill="1" applyBorder="1" applyAlignment="1">
      <alignment horizontal="center" vertical="center"/>
    </xf>
    <xf numFmtId="165" fontId="54" fillId="36" borderId="24" xfId="1040" applyFont="1" applyFill="1" applyBorder="1" applyAlignment="1">
      <alignment horizontal="center" vertical="center"/>
    </xf>
    <xf numFmtId="165" fontId="54" fillId="36" borderId="24" xfId="0" applyNumberFormat="1" applyFont="1" applyFill="1" applyBorder="1" applyAlignment="1">
      <alignment horizontal="center" vertical="center"/>
    </xf>
    <xf numFmtId="0" fontId="53" fillId="36" borderId="23" xfId="0" applyFont="1" applyFill="1" applyBorder="1" applyAlignment="1" applyProtection="1">
      <alignment vertical="center"/>
    </xf>
    <xf numFmtId="169" fontId="54" fillId="36" borderId="24" xfId="0" applyNumberFormat="1" applyFont="1" applyFill="1" applyBorder="1" applyAlignment="1">
      <alignment vertical="center"/>
    </xf>
    <xf numFmtId="3" fontId="54" fillId="36" borderId="24" xfId="0" applyNumberFormat="1" applyFont="1" applyFill="1" applyBorder="1" applyAlignment="1">
      <alignment horizontal="center" vertical="center"/>
    </xf>
    <xf numFmtId="174" fontId="54" fillId="36" borderId="24" xfId="1040" applyNumberFormat="1" applyFont="1" applyFill="1" applyBorder="1" applyAlignment="1">
      <alignment vertical="center"/>
    </xf>
    <xf numFmtId="4" fontId="54" fillId="0" borderId="0" xfId="0" applyNumberFormat="1" applyFont="1"/>
    <xf numFmtId="0" fontId="65" fillId="34" borderId="50" xfId="0" applyFont="1" applyFill="1" applyBorder="1" applyAlignment="1">
      <alignment horizontal="center" vertical="center"/>
    </xf>
    <xf numFmtId="0" fontId="65" fillId="34" borderId="27" xfId="0" applyFont="1" applyFill="1" applyBorder="1" applyAlignment="1">
      <alignment horizontal="center" vertical="center"/>
    </xf>
    <xf numFmtId="0" fontId="65" fillId="34" borderId="49" xfId="0" applyFont="1" applyFill="1" applyBorder="1" applyAlignment="1">
      <alignment horizontal="center" vertical="center"/>
    </xf>
    <xf numFmtId="178" fontId="54" fillId="0" borderId="0" xfId="0" applyNumberFormat="1" applyFont="1"/>
    <xf numFmtId="0" fontId="65" fillId="36" borderId="50" xfId="0" applyFont="1" applyFill="1" applyBorder="1" applyAlignment="1">
      <alignment horizontal="center" vertical="center"/>
    </xf>
    <xf numFmtId="0" fontId="65" fillId="36" borderId="49" xfId="0" applyFont="1" applyFill="1" applyBorder="1" applyAlignment="1">
      <alignment horizontal="center" vertical="center"/>
    </xf>
    <xf numFmtId="0" fontId="65" fillId="36" borderId="27" xfId="0" applyFont="1" applyFill="1" applyBorder="1" applyAlignment="1">
      <alignment horizontal="center" vertical="center"/>
    </xf>
    <xf numFmtId="2" fontId="65" fillId="36" borderId="21" xfId="0" applyNumberFormat="1" applyFont="1" applyFill="1" applyBorder="1" applyAlignment="1">
      <alignment horizontal="center" vertical="center"/>
    </xf>
    <xf numFmtId="2" fontId="65" fillId="0" borderId="60" xfId="0" applyNumberFormat="1" applyFont="1" applyBorder="1" applyAlignment="1">
      <alignment horizontal="center" vertical="center"/>
    </xf>
    <xf numFmtId="180" fontId="65" fillId="36" borderId="49" xfId="0" applyNumberFormat="1" applyFont="1" applyFill="1" applyBorder="1" applyAlignment="1">
      <alignment horizontal="center" vertical="center"/>
    </xf>
    <xf numFmtId="180" fontId="65" fillId="36" borderId="50" xfId="0" applyNumberFormat="1" applyFont="1" applyFill="1" applyBorder="1" applyAlignment="1">
      <alignment horizontal="center" vertical="center"/>
    </xf>
    <xf numFmtId="2" fontId="65" fillId="36" borderId="22" xfId="0" applyNumberFormat="1" applyFont="1" applyFill="1" applyBorder="1" applyAlignment="1">
      <alignment horizontal="center" vertical="center"/>
    </xf>
    <xf numFmtId="180" fontId="65" fillId="36" borderId="27" xfId="0" applyNumberFormat="1" applyFont="1" applyFill="1" applyBorder="1" applyAlignment="1">
      <alignment horizontal="center" vertical="center"/>
    </xf>
    <xf numFmtId="165" fontId="65" fillId="0" borderId="24" xfId="0" applyNumberFormat="1" applyFont="1" applyBorder="1" applyAlignment="1">
      <alignment horizontal="center" vertical="center"/>
    </xf>
    <xf numFmtId="39" fontId="65" fillId="35" borderId="24" xfId="0" applyNumberFormat="1" applyFont="1" applyFill="1" applyBorder="1" applyAlignment="1">
      <alignment horizontal="center" vertical="center"/>
    </xf>
    <xf numFmtId="39" fontId="54" fillId="0" borderId="0" xfId="0" applyNumberFormat="1" applyFont="1"/>
    <xf numFmtId="43" fontId="54" fillId="0" borderId="0" xfId="0" applyNumberFormat="1" applyFont="1"/>
    <xf numFmtId="0" fontId="63" fillId="36" borderId="0" xfId="0" applyFont="1" applyFill="1" applyAlignment="1">
      <alignment vertical="center"/>
    </xf>
    <xf numFmtId="0" fontId="53" fillId="36" borderId="24" xfId="0" applyFont="1" applyFill="1" applyBorder="1" applyAlignment="1">
      <alignment vertical="center"/>
    </xf>
    <xf numFmtId="0" fontId="53" fillId="36" borderId="24" xfId="0" applyFont="1" applyFill="1" applyBorder="1" applyAlignment="1">
      <alignment horizontal="center" vertical="center"/>
    </xf>
    <xf numFmtId="169" fontId="53" fillId="36" borderId="24" xfId="0" applyNumberFormat="1" applyFont="1" applyFill="1" applyBorder="1" applyAlignment="1">
      <alignment horizontal="center" vertical="center"/>
    </xf>
    <xf numFmtId="0" fontId="53" fillId="36" borderId="24" xfId="0" applyFont="1" applyFill="1" applyBorder="1" applyAlignment="1">
      <alignment horizontal="center" vertical="center" wrapText="1"/>
    </xf>
    <xf numFmtId="4" fontId="54" fillId="36" borderId="24" xfId="0" applyNumberFormat="1" applyFont="1" applyFill="1" applyBorder="1" applyAlignment="1">
      <alignment vertical="center"/>
    </xf>
    <xf numFmtId="4" fontId="53" fillId="36" borderId="24" xfId="0" applyNumberFormat="1" applyFont="1" applyFill="1" applyBorder="1" applyAlignment="1">
      <alignment vertical="center"/>
    </xf>
    <xf numFmtId="0" fontId="54" fillId="36" borderId="0" xfId="415" applyFont="1" applyFill="1" applyBorder="1" applyAlignment="1">
      <alignment vertical="center"/>
    </xf>
    <xf numFmtId="2" fontId="64" fillId="36" borderId="0" xfId="0" applyNumberFormat="1" applyFont="1" applyFill="1" applyBorder="1" applyAlignment="1">
      <alignment horizontal="center" vertical="center" wrapText="1"/>
    </xf>
    <xf numFmtId="4" fontId="64" fillId="36" borderId="24" xfId="0" applyNumberFormat="1" applyFont="1" applyFill="1" applyBorder="1" applyAlignment="1">
      <alignment horizontal="center" vertical="center"/>
    </xf>
    <xf numFmtId="165" fontId="54" fillId="36" borderId="0" xfId="1040" applyFont="1" applyFill="1" applyAlignment="1">
      <alignment vertical="center"/>
    </xf>
    <xf numFmtId="0" fontId="54" fillId="36" borderId="0" xfId="0" applyFont="1" applyFill="1" applyAlignment="1">
      <alignment horizontal="center"/>
    </xf>
    <xf numFmtId="0" fontId="53" fillId="36" borderId="0" xfId="0" applyFont="1" applyFill="1"/>
    <xf numFmtId="0" fontId="53" fillId="36" borderId="34" xfId="0" applyFont="1" applyFill="1" applyBorder="1" applyAlignment="1">
      <alignment horizontal="center" vertical="center" wrapText="1"/>
    </xf>
    <xf numFmtId="4" fontId="66" fillId="36" borderId="35" xfId="0" applyNumberFormat="1" applyFont="1" applyFill="1" applyBorder="1" applyAlignment="1">
      <alignment horizontal="center" vertical="center"/>
    </xf>
    <xf numFmtId="0" fontId="54" fillId="36" borderId="24" xfId="0" applyFont="1" applyFill="1" applyBorder="1"/>
    <xf numFmtId="172" fontId="53" fillId="36" borderId="24" xfId="498" applyNumberFormat="1" applyFont="1" applyFill="1" applyBorder="1" applyAlignment="1" applyProtection="1">
      <alignment horizontal="left" vertical="center"/>
      <protection locked="0"/>
    </xf>
    <xf numFmtId="169" fontId="54" fillId="36" borderId="35" xfId="0" applyNumberFormat="1" applyFont="1" applyFill="1" applyBorder="1" applyAlignment="1">
      <alignment horizontal="center" vertical="center"/>
    </xf>
    <xf numFmtId="0" fontId="54" fillId="36" borderId="34" xfId="0" applyFont="1" applyFill="1" applyBorder="1" applyAlignment="1">
      <alignment horizontal="center" vertical="center" wrapText="1"/>
    </xf>
    <xf numFmtId="0" fontId="54" fillId="36" borderId="24" xfId="415" applyFont="1" applyFill="1" applyBorder="1" applyAlignment="1">
      <alignment horizontal="center" vertical="center"/>
    </xf>
    <xf numFmtId="169" fontId="54" fillId="36" borderId="35" xfId="0" applyNumberFormat="1" applyFont="1" applyFill="1" applyBorder="1" applyAlignment="1">
      <alignment horizontal="right" vertical="center"/>
    </xf>
    <xf numFmtId="0" fontId="54" fillId="36" borderId="34" xfId="415" applyFont="1" applyFill="1" applyBorder="1" applyAlignment="1">
      <alignment horizontal="center" vertical="center"/>
    </xf>
    <xf numFmtId="0" fontId="54" fillId="36" borderId="24" xfId="415" applyFont="1" applyFill="1" applyBorder="1" applyAlignment="1">
      <alignment horizontal="left" vertical="center" wrapText="1"/>
    </xf>
    <xf numFmtId="10" fontId="54" fillId="36" borderId="0" xfId="0" applyNumberFormat="1" applyFont="1" applyFill="1"/>
    <xf numFmtId="173" fontId="54" fillId="36" borderId="0" xfId="0" applyNumberFormat="1" applyFont="1" applyFill="1"/>
    <xf numFmtId="0" fontId="54" fillId="36" borderId="24" xfId="426" applyFont="1" applyFill="1" applyBorder="1" applyAlignment="1">
      <alignment horizontal="center" vertical="center"/>
    </xf>
    <xf numFmtId="0" fontId="53" fillId="36" borderId="34" xfId="415" applyFont="1" applyFill="1" applyBorder="1" applyAlignment="1">
      <alignment horizontal="center" vertical="center"/>
    </xf>
    <xf numFmtId="0" fontId="53" fillId="36" borderId="24" xfId="415" applyFont="1" applyFill="1" applyBorder="1" applyAlignment="1">
      <alignment horizontal="center" vertical="center"/>
    </xf>
    <xf numFmtId="0" fontId="53" fillId="36" borderId="24" xfId="415" applyFont="1" applyFill="1" applyBorder="1" applyAlignment="1">
      <alignment horizontal="left" vertical="center"/>
    </xf>
    <xf numFmtId="0" fontId="53" fillId="36" borderId="34" xfId="0" applyFont="1" applyFill="1" applyBorder="1" applyAlignment="1">
      <alignment horizontal="center" vertical="center"/>
    </xf>
    <xf numFmtId="0" fontId="54" fillId="36" borderId="34" xfId="0" applyFont="1" applyFill="1" applyBorder="1" applyAlignment="1">
      <alignment horizontal="center" vertical="center"/>
    </xf>
    <xf numFmtId="0" fontId="54" fillId="36" borderId="24" xfId="0" applyFont="1" applyFill="1" applyBorder="1" applyAlignment="1">
      <alignment horizontal="left" vertical="center"/>
    </xf>
    <xf numFmtId="0" fontId="54" fillId="36" borderId="0" xfId="0" applyFont="1" applyFill="1" applyAlignment="1">
      <alignment horizontal="left" vertical="center"/>
    </xf>
    <xf numFmtId="0" fontId="67" fillId="36" borderId="24" xfId="0" applyFont="1" applyFill="1" applyBorder="1" applyAlignment="1">
      <alignment vertical="center" wrapText="1"/>
    </xf>
    <xf numFmtId="169" fontId="54" fillId="36" borderId="0" xfId="0" applyNumberFormat="1" applyFont="1" applyFill="1"/>
    <xf numFmtId="3" fontId="54" fillId="36" borderId="24" xfId="498" applyNumberFormat="1" applyFont="1" applyFill="1" applyBorder="1" applyAlignment="1" applyProtection="1">
      <alignment horizontal="center" vertical="center"/>
      <protection locked="0"/>
    </xf>
    <xf numFmtId="172" fontId="54" fillId="36" borderId="24" xfId="498" applyNumberFormat="1" applyFont="1" applyFill="1" applyBorder="1" applyAlignment="1" applyProtection="1">
      <alignment horizontal="center" vertical="center"/>
      <protection locked="0"/>
    </xf>
    <xf numFmtId="0" fontId="60" fillId="36" borderId="0" xfId="0" applyFont="1" applyFill="1"/>
    <xf numFmtId="0" fontId="54" fillId="36" borderId="37" xfId="415" applyFont="1" applyFill="1" applyBorder="1" applyAlignment="1">
      <alignment horizontal="center" vertical="center"/>
    </xf>
    <xf numFmtId="0" fontId="53" fillId="36" borderId="59" xfId="0" applyFont="1" applyFill="1" applyBorder="1" applyAlignment="1">
      <alignment horizontal="center" vertical="center"/>
    </xf>
    <xf numFmtId="0" fontId="53" fillId="36" borderId="22" xfId="0" applyFont="1" applyFill="1" applyBorder="1" applyAlignment="1">
      <alignment horizontal="center" vertical="center"/>
    </xf>
    <xf numFmtId="0" fontId="54" fillId="36" borderId="22" xfId="415" applyFont="1" applyFill="1" applyBorder="1" applyAlignment="1">
      <alignment horizontal="center" vertical="center"/>
    </xf>
    <xf numFmtId="0" fontId="53" fillId="36" borderId="22" xfId="0" applyFont="1" applyFill="1" applyBorder="1" applyAlignment="1">
      <alignment vertical="center"/>
    </xf>
    <xf numFmtId="169" fontId="54" fillId="36" borderId="64" xfId="0" applyNumberFormat="1" applyFont="1" applyFill="1" applyBorder="1" applyAlignment="1">
      <alignment horizontal="right" vertical="center"/>
    </xf>
    <xf numFmtId="0" fontId="54" fillId="36" borderId="0" xfId="0" applyFont="1" applyFill="1" applyAlignment="1">
      <alignment horizontal="left"/>
    </xf>
    <xf numFmtId="0" fontId="54" fillId="36" borderId="21" xfId="415" applyFont="1" applyFill="1" applyBorder="1" applyAlignment="1">
      <alignment horizontal="center" vertical="center"/>
    </xf>
    <xf numFmtId="0" fontId="54" fillId="36" borderId="36" xfId="415" applyFont="1" applyFill="1" applyBorder="1" applyAlignment="1">
      <alignment horizontal="center" vertical="center"/>
    </xf>
    <xf numFmtId="10" fontId="53" fillId="36" borderId="48" xfId="0" applyNumberFormat="1" applyFont="1" applyFill="1" applyBorder="1" applyAlignment="1">
      <alignment horizontal="center" vertical="center" wrapText="1"/>
    </xf>
    <xf numFmtId="10" fontId="53" fillId="36" borderId="46" xfId="0" applyNumberFormat="1" applyFont="1" applyFill="1" applyBorder="1" applyAlignment="1">
      <alignment horizontal="center" vertical="center" wrapText="1"/>
    </xf>
    <xf numFmtId="168" fontId="53" fillId="36" borderId="60" xfId="0" quotePrefix="1" applyNumberFormat="1" applyFont="1" applyFill="1" applyBorder="1" applyAlignment="1">
      <alignment horizontal="center" vertical="center"/>
    </xf>
    <xf numFmtId="0" fontId="64" fillId="36" borderId="51" xfId="0" applyFont="1" applyFill="1" applyBorder="1" applyAlignment="1">
      <alignment horizontal="center" vertical="center"/>
    </xf>
    <xf numFmtId="0" fontId="54" fillId="36" borderId="0" xfId="0" applyFont="1" applyFill="1" applyBorder="1" applyAlignment="1">
      <alignment vertical="center"/>
    </xf>
    <xf numFmtId="0" fontId="54" fillId="36" borderId="24" xfId="0" applyFont="1" applyFill="1" applyBorder="1" applyAlignment="1">
      <alignment horizontal="center" vertical="center"/>
    </xf>
    <xf numFmtId="0" fontId="54" fillId="36" borderId="24" xfId="0" applyFont="1" applyFill="1" applyBorder="1" applyAlignment="1">
      <alignment horizontal="center" vertical="center"/>
    </xf>
    <xf numFmtId="0" fontId="72" fillId="40" borderId="97" xfId="0" applyNumberFormat="1" applyFont="1" applyFill="1" applyBorder="1" applyAlignment="1" applyProtection="1">
      <alignment horizontal="left" vertical="top" wrapText="1" readingOrder="1"/>
    </xf>
    <xf numFmtId="0" fontId="72" fillId="40" borderId="97" xfId="0" applyNumberFormat="1" applyFont="1" applyFill="1" applyBorder="1" applyAlignment="1" applyProtection="1">
      <alignment horizontal="left" vertical="top" readingOrder="1"/>
    </xf>
    <xf numFmtId="0" fontId="72" fillId="40" borderId="98" xfId="0" applyNumberFormat="1" applyFont="1" applyFill="1" applyBorder="1" applyAlignment="1" applyProtection="1">
      <alignment horizontal="left" vertical="top" readingOrder="1"/>
    </xf>
    <xf numFmtId="0" fontId="54" fillId="40" borderId="116" xfId="0" applyNumberFormat="1" applyFont="1" applyFill="1" applyBorder="1" applyAlignment="1" applyProtection="1">
      <alignment vertical="top"/>
    </xf>
    <xf numFmtId="0" fontId="54" fillId="40" borderId="113" xfId="0" applyNumberFormat="1" applyFont="1" applyFill="1" applyBorder="1" applyAlignment="1" applyProtection="1">
      <alignment vertical="top"/>
    </xf>
    <xf numFmtId="0" fontId="54" fillId="40" borderId="114" xfId="0" applyNumberFormat="1" applyFont="1" applyFill="1" applyBorder="1" applyAlignment="1" applyProtection="1">
      <alignment vertical="top"/>
    </xf>
    <xf numFmtId="0" fontId="54" fillId="40" borderId="103" xfId="0" applyNumberFormat="1" applyFont="1" applyFill="1" applyBorder="1" applyAlignment="1" applyProtection="1">
      <alignment vertical="top"/>
    </xf>
    <xf numFmtId="0" fontId="54" fillId="40" borderId="104" xfId="0" applyNumberFormat="1" applyFont="1" applyFill="1" applyBorder="1" applyAlignment="1" applyProtection="1">
      <alignment vertical="top"/>
    </xf>
    <xf numFmtId="0" fontId="74" fillId="40" borderId="104" xfId="0" applyNumberFormat="1" applyFont="1" applyFill="1" applyBorder="1" applyAlignment="1" applyProtection="1">
      <alignment horizontal="left" vertical="center" readingOrder="1"/>
    </xf>
    <xf numFmtId="0" fontId="54" fillId="40" borderId="105" xfId="0" applyNumberFormat="1" applyFont="1" applyFill="1" applyBorder="1" applyAlignment="1" applyProtection="1">
      <alignment vertical="top"/>
    </xf>
    <xf numFmtId="0" fontId="54" fillId="40" borderId="117" xfId="0" applyNumberFormat="1" applyFont="1" applyFill="1" applyBorder="1" applyAlignment="1" applyProtection="1">
      <alignment vertical="top"/>
    </xf>
    <xf numFmtId="0" fontId="54" fillId="40" borderId="0" xfId="0" applyFont="1" applyFill="1" applyBorder="1"/>
    <xf numFmtId="0" fontId="54" fillId="40" borderId="0" xfId="0" applyFont="1" applyFill="1" applyBorder="1" applyAlignment="1">
      <alignment wrapText="1" readingOrder="1"/>
    </xf>
    <xf numFmtId="0" fontId="54" fillId="40" borderId="115" xfId="0" applyNumberFormat="1" applyFont="1" applyFill="1" applyBorder="1" applyAlignment="1" applyProtection="1">
      <alignment vertical="top"/>
    </xf>
    <xf numFmtId="0" fontId="54" fillId="40" borderId="104" xfId="0" applyNumberFormat="1" applyFont="1" applyFill="1" applyBorder="1" applyAlignment="1" applyProtection="1">
      <alignment vertical="top" wrapText="1" readingOrder="1"/>
    </xf>
    <xf numFmtId="165" fontId="54" fillId="36" borderId="0" xfId="1040" applyFont="1" applyFill="1"/>
    <xf numFmtId="10" fontId="54" fillId="36" borderId="0" xfId="1089" applyNumberFormat="1" applyFont="1" applyFill="1"/>
    <xf numFmtId="165" fontId="54" fillId="36" borderId="0" xfId="0" applyNumberFormat="1" applyFont="1" applyFill="1"/>
    <xf numFmtId="43" fontId="54" fillId="36" borderId="0" xfId="0" applyNumberFormat="1" applyFont="1" applyFill="1"/>
    <xf numFmtId="0" fontId="54" fillId="36" borderId="0" xfId="499" applyFont="1" applyFill="1"/>
    <xf numFmtId="0" fontId="54" fillId="36" borderId="0" xfId="499" applyFont="1" applyFill="1" applyAlignment="1">
      <alignment horizontal="left"/>
    </xf>
    <xf numFmtId="0" fontId="53" fillId="36" borderId="0" xfId="499" applyFont="1" applyFill="1"/>
    <xf numFmtId="0" fontId="1" fillId="36" borderId="0" xfId="499" applyFont="1" applyFill="1" applyBorder="1" applyAlignment="1"/>
    <xf numFmtId="0" fontId="1" fillId="36" borderId="0" xfId="499" applyFill="1"/>
    <xf numFmtId="0" fontId="0" fillId="36" borderId="0" xfId="0" applyFill="1"/>
    <xf numFmtId="0" fontId="1" fillId="36" borderId="0" xfId="499" applyFont="1" applyFill="1" applyBorder="1" applyAlignment="1">
      <alignment horizontal="left"/>
    </xf>
    <xf numFmtId="0" fontId="3" fillId="36" borderId="0" xfId="499" applyFont="1" applyFill="1" applyBorder="1" applyAlignment="1"/>
    <xf numFmtId="17" fontId="1" fillId="36" borderId="0" xfId="499" applyNumberFormat="1" applyFill="1"/>
    <xf numFmtId="0" fontId="1" fillId="36" borderId="0" xfId="499" applyFill="1" applyBorder="1"/>
    <xf numFmtId="0" fontId="1" fillId="36" borderId="28" xfId="499" applyFont="1" applyFill="1" applyBorder="1" applyAlignment="1">
      <alignment horizontal="center"/>
    </xf>
    <xf numFmtId="0" fontId="76" fillId="36" borderId="28" xfId="499" applyFont="1" applyFill="1" applyBorder="1" applyAlignment="1">
      <alignment horizontal="center"/>
    </xf>
    <xf numFmtId="0" fontId="1" fillId="36" borderId="42" xfId="499" applyFont="1" applyFill="1" applyBorder="1" applyAlignment="1">
      <alignment horizontal="center"/>
    </xf>
    <xf numFmtId="0" fontId="1" fillId="36" borderId="43" xfId="499" applyFont="1" applyFill="1" applyBorder="1" applyAlignment="1">
      <alignment horizontal="center"/>
    </xf>
    <xf numFmtId="0" fontId="3" fillId="36" borderId="28" xfId="499" applyFont="1" applyFill="1" applyBorder="1" applyAlignment="1">
      <alignment horizontal="center"/>
    </xf>
    <xf numFmtId="0" fontId="1" fillId="36" borderId="28" xfId="499" applyFont="1" applyFill="1" applyBorder="1"/>
    <xf numFmtId="183" fontId="76" fillId="36" borderId="28" xfId="972" applyNumberFormat="1" applyFont="1" applyFill="1" applyBorder="1" applyAlignment="1" applyProtection="1"/>
    <xf numFmtId="183" fontId="1" fillId="36" borderId="42" xfId="972" applyNumberFormat="1" applyFont="1" applyFill="1" applyBorder="1" applyAlignment="1" applyProtection="1"/>
    <xf numFmtId="183" fontId="1" fillId="36" borderId="43" xfId="972" applyNumberFormat="1" applyFont="1" applyFill="1" applyBorder="1" applyAlignment="1" applyProtection="1"/>
    <xf numFmtId="184" fontId="1" fillId="36" borderId="28" xfId="972" applyNumberFormat="1" applyFont="1" applyFill="1" applyBorder="1" applyAlignment="1" applyProtection="1"/>
    <xf numFmtId="0" fontId="1" fillId="36" borderId="0" xfId="499" applyFont="1" applyFill="1" applyBorder="1"/>
    <xf numFmtId="183" fontId="1" fillId="36" borderId="0" xfId="972" applyNumberFormat="1" applyFont="1" applyFill="1" applyBorder="1" applyAlignment="1" applyProtection="1"/>
    <xf numFmtId="185" fontId="1" fillId="36" borderId="0" xfId="972" applyNumberFormat="1" applyFont="1" applyFill="1" applyBorder="1" applyAlignment="1" applyProtection="1"/>
    <xf numFmtId="184" fontId="1" fillId="36" borderId="0" xfId="972" applyNumberFormat="1" applyFont="1" applyFill="1" applyBorder="1" applyAlignment="1" applyProtection="1"/>
    <xf numFmtId="0" fontId="2" fillId="36" borderId="49" xfId="499" applyFont="1" applyFill="1" applyBorder="1"/>
    <xf numFmtId="183" fontId="2" fillId="36" borderId="50" xfId="972" applyNumberFormat="1" applyFont="1" applyFill="1" applyBorder="1" applyAlignment="1" applyProtection="1"/>
    <xf numFmtId="184" fontId="2" fillId="36" borderId="27" xfId="972" applyNumberFormat="1" applyFont="1" applyFill="1" applyBorder="1" applyAlignment="1" applyProtection="1"/>
    <xf numFmtId="0" fontId="2" fillId="36" borderId="0" xfId="499" applyFont="1" applyFill="1"/>
    <xf numFmtId="0" fontId="2" fillId="36" borderId="0" xfId="499" applyFont="1" applyFill="1" applyBorder="1"/>
    <xf numFmtId="183" fontId="2" fillId="36" borderId="0" xfId="972" applyNumberFormat="1" applyFont="1" applyFill="1" applyBorder="1" applyAlignment="1" applyProtection="1"/>
    <xf numFmtId="184" fontId="2" fillId="36" borderId="0" xfId="972" applyNumberFormat="1" applyFont="1" applyFill="1" applyBorder="1" applyAlignment="1" applyProtection="1"/>
    <xf numFmtId="167" fontId="2" fillId="36" borderId="27" xfId="291" applyFont="1" applyFill="1" applyBorder="1" applyAlignment="1" applyProtection="1"/>
    <xf numFmtId="0" fontId="1" fillId="36" borderId="0" xfId="499" applyFont="1" applyFill="1"/>
    <xf numFmtId="0" fontId="1" fillId="40" borderId="116" xfId="0" applyNumberFormat="1" applyFont="1" applyFill="1" applyBorder="1" applyAlignment="1" applyProtection="1">
      <alignment vertical="top"/>
    </xf>
    <xf numFmtId="0" fontId="1" fillId="40" borderId="103" xfId="0" applyNumberFormat="1" applyFont="1" applyFill="1" applyBorder="1" applyAlignment="1" applyProtection="1">
      <alignment vertical="top"/>
    </xf>
    <xf numFmtId="0" fontId="1" fillId="40" borderId="117" xfId="0" applyNumberFormat="1" applyFont="1" applyFill="1" applyBorder="1" applyAlignment="1" applyProtection="1">
      <alignment vertical="top"/>
    </xf>
    <xf numFmtId="0" fontId="1" fillId="40" borderId="96" xfId="0" applyNumberFormat="1" applyFont="1" applyFill="1" applyBorder="1" applyAlignment="1" applyProtection="1">
      <alignment vertical="top"/>
    </xf>
    <xf numFmtId="3" fontId="55" fillId="36" borderId="59" xfId="0" applyNumberFormat="1" applyFont="1" applyFill="1" applyBorder="1" applyAlignment="1">
      <alignment horizontal="left" vertical="center" wrapText="1"/>
    </xf>
    <xf numFmtId="3" fontId="55" fillId="36" borderId="34" xfId="0" applyNumberFormat="1" applyFont="1" applyFill="1" applyBorder="1" applyAlignment="1">
      <alignment horizontal="left" vertical="center" wrapText="1"/>
    </xf>
    <xf numFmtId="0" fontId="54" fillId="36" borderId="0" xfId="0" applyFont="1" applyFill="1" applyBorder="1" applyAlignment="1">
      <alignment vertical="center"/>
    </xf>
    <xf numFmtId="169" fontId="60" fillId="36" borderId="35" xfId="0" applyNumberFormat="1" applyFont="1" applyFill="1" applyBorder="1" applyAlignment="1">
      <alignment horizontal="right" vertical="center"/>
    </xf>
    <xf numFmtId="169" fontId="60" fillId="36" borderId="35" xfId="415" applyNumberFormat="1" applyFont="1" applyFill="1" applyBorder="1" applyAlignment="1">
      <alignment horizontal="right" vertical="center"/>
    </xf>
    <xf numFmtId="0" fontId="82" fillId="36" borderId="34" xfId="0" applyFont="1" applyFill="1" applyBorder="1" applyAlignment="1">
      <alignment vertical="center"/>
    </xf>
    <xf numFmtId="0" fontId="82" fillId="36" borderId="24" xfId="0" applyFont="1" applyFill="1" applyBorder="1" applyAlignment="1">
      <alignment horizontal="center"/>
    </xf>
    <xf numFmtId="4" fontId="82" fillId="36" borderId="24" xfId="0" applyNumberFormat="1" applyFont="1" applyFill="1" applyBorder="1" applyAlignment="1">
      <alignment horizontal="center"/>
    </xf>
    <xf numFmtId="2" fontId="82" fillId="36" borderId="24" xfId="0" applyNumberFormat="1" applyFont="1" applyFill="1" applyBorder="1" applyAlignment="1">
      <alignment horizontal="center"/>
    </xf>
    <xf numFmtId="0" fontId="82" fillId="36" borderId="35" xfId="0" quotePrefix="1" applyFont="1" applyFill="1" applyBorder="1" applyAlignment="1">
      <alignment horizontal="center" vertical="center"/>
    </xf>
    <xf numFmtId="1" fontId="82" fillId="36" borderId="24" xfId="0" applyNumberFormat="1" applyFont="1" applyFill="1" applyBorder="1" applyAlignment="1">
      <alignment horizontal="center"/>
    </xf>
    <xf numFmtId="2" fontId="82" fillId="36" borderId="24" xfId="0" quotePrefix="1" applyNumberFormat="1" applyFont="1" applyFill="1" applyBorder="1" applyAlignment="1">
      <alignment horizontal="center"/>
    </xf>
    <xf numFmtId="40" fontId="82" fillId="36" borderId="24" xfId="0" applyNumberFormat="1" applyFont="1" applyFill="1" applyBorder="1" applyAlignment="1">
      <alignment horizontal="center"/>
    </xf>
    <xf numFmtId="165" fontId="82" fillId="36" borderId="24" xfId="1040" applyFont="1" applyFill="1" applyBorder="1" applyAlignment="1">
      <alignment horizontal="right"/>
    </xf>
    <xf numFmtId="0" fontId="82" fillId="36" borderId="50" xfId="0" applyFont="1" applyFill="1" applyBorder="1" applyAlignment="1">
      <alignment horizontal="left"/>
    </xf>
    <xf numFmtId="2" fontId="82" fillId="36" borderId="50" xfId="0" applyNumberFormat="1" applyFont="1" applyFill="1" applyBorder="1" applyAlignment="1">
      <alignment horizontal="center"/>
    </xf>
    <xf numFmtId="0" fontId="82" fillId="36" borderId="65" xfId="0" quotePrefix="1" applyFon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1" fillId="36" borderId="68" xfId="0" quotePrefix="1" applyFont="1" applyFill="1" applyBorder="1" applyAlignment="1">
      <alignment horizontal="center" vertical="center"/>
    </xf>
    <xf numFmtId="181" fontId="1" fillId="36" borderId="68" xfId="0" applyNumberFormat="1" applyFont="1" applyFill="1" applyBorder="1" applyAlignment="1">
      <alignment horizontal="center" vertical="center"/>
    </xf>
    <xf numFmtId="0" fontId="1" fillId="36" borderId="69" xfId="0" quotePrefix="1" applyFont="1" applyFill="1" applyBorder="1" applyAlignment="1">
      <alignment horizontal="center" vertical="center"/>
    </xf>
    <xf numFmtId="0" fontId="1" fillId="36" borderId="24" xfId="0" quotePrefix="1" applyFont="1" applyFill="1" applyBorder="1" applyAlignment="1">
      <alignment horizontal="center" vertical="center"/>
    </xf>
    <xf numFmtId="181" fontId="1" fillId="36" borderId="22" xfId="0" applyNumberFormat="1" applyFont="1" applyFill="1" applyBorder="1" applyAlignment="1">
      <alignment horizontal="center" vertical="center"/>
    </xf>
    <xf numFmtId="0" fontId="1" fillId="36" borderId="35" xfId="0" quotePrefix="1" applyFont="1" applyFill="1" applyBorder="1" applyAlignment="1">
      <alignment horizontal="center" vertical="center"/>
    </xf>
    <xf numFmtId="0" fontId="82" fillId="36" borderId="26" xfId="0" applyFont="1" applyFill="1" applyBorder="1" applyAlignment="1">
      <alignment vertical="center"/>
    </xf>
    <xf numFmtId="0" fontId="82" fillId="36" borderId="48" xfId="0" applyFont="1" applyFill="1" applyBorder="1" applyAlignment="1">
      <alignment vertical="center"/>
    </xf>
    <xf numFmtId="0" fontId="82" fillId="36" borderId="70" xfId="0" applyFont="1" applyFill="1" applyBorder="1" applyAlignment="1">
      <alignment vertical="center"/>
    </xf>
    <xf numFmtId="0" fontId="82" fillId="36" borderId="71" xfId="0" applyFont="1" applyFill="1" applyBorder="1" applyAlignment="1">
      <alignment vertical="center"/>
    </xf>
    <xf numFmtId="0" fontId="1" fillId="36" borderId="37" xfId="0" quotePrefix="1" applyFont="1" applyFill="1" applyBorder="1" applyAlignment="1">
      <alignment horizontal="center" vertical="center"/>
    </xf>
    <xf numFmtId="181" fontId="2" fillId="36" borderId="72" xfId="0" applyNumberFormat="1" applyFont="1" applyFill="1" applyBorder="1" applyAlignment="1">
      <alignment horizontal="center" vertical="center"/>
    </xf>
    <xf numFmtId="0" fontId="1" fillId="36" borderId="38" xfId="0" quotePrefix="1" applyFont="1" applyFill="1" applyBorder="1" applyAlignment="1">
      <alignment horizontal="center" vertical="center"/>
    </xf>
    <xf numFmtId="0" fontId="82" fillId="36" borderId="77" xfId="0" applyFont="1" applyFill="1" applyBorder="1" applyAlignment="1">
      <alignment vertical="center"/>
    </xf>
    <xf numFmtId="0" fontId="1" fillId="36" borderId="21" xfId="0" quotePrefix="1" applyFont="1" applyFill="1" applyBorder="1" applyAlignment="1">
      <alignment horizontal="center" vertical="center"/>
    </xf>
    <xf numFmtId="181" fontId="1" fillId="36" borderId="60" xfId="0" applyNumberFormat="1" applyFont="1" applyFill="1" applyBorder="1" applyAlignment="1">
      <alignment horizontal="center" vertical="center"/>
    </xf>
    <xf numFmtId="0" fontId="1" fillId="36" borderId="62" xfId="0" quotePrefix="1" applyFont="1" applyFill="1" applyBorder="1" applyAlignment="1">
      <alignment horizontal="center" vertical="center"/>
    </xf>
    <xf numFmtId="0" fontId="83" fillId="36" borderId="41" xfId="0" applyFont="1" applyFill="1" applyBorder="1" applyAlignment="1">
      <alignment vertical="center"/>
    </xf>
    <xf numFmtId="0" fontId="82" fillId="36" borderId="30" xfId="0" applyFont="1" applyFill="1" applyBorder="1" applyAlignment="1">
      <alignment vertical="center"/>
    </xf>
    <xf numFmtId="0" fontId="82" fillId="36" borderId="73" xfId="0" applyFont="1" applyFill="1" applyBorder="1" applyAlignment="1">
      <alignment vertical="center"/>
    </xf>
    <xf numFmtId="0" fontId="1" fillId="36" borderId="72" xfId="0" quotePrefix="1" applyFont="1" applyFill="1" applyBorder="1" applyAlignment="1">
      <alignment horizontal="center" vertical="center"/>
    </xf>
    <xf numFmtId="0" fontId="1" fillId="36" borderId="74" xfId="0" quotePrefix="1" applyFont="1" applyFill="1" applyBorder="1" applyAlignment="1">
      <alignment horizontal="center" vertical="center"/>
    </xf>
    <xf numFmtId="0" fontId="82" fillId="36" borderId="36" xfId="0" applyFont="1" applyFill="1" applyBorder="1" applyAlignment="1">
      <alignment vertical="center"/>
    </xf>
    <xf numFmtId="181" fontId="1" fillId="36" borderId="37" xfId="0" applyNumberFormat="1" applyFont="1" applyFill="1" applyBorder="1" applyAlignment="1">
      <alignment horizontal="center" vertical="center"/>
    </xf>
    <xf numFmtId="2" fontId="64" fillId="36" borderId="26" xfId="0" applyNumberFormat="1" applyFont="1" applyFill="1" applyBorder="1" applyAlignment="1">
      <alignment horizontal="left" vertical="center"/>
    </xf>
    <xf numFmtId="2" fontId="54" fillId="36" borderId="27" xfId="0" applyNumberFormat="1" applyFont="1" applyFill="1" applyBorder="1" applyAlignment="1">
      <alignment vertical="center"/>
    </xf>
    <xf numFmtId="2" fontId="54" fillId="36" borderId="24" xfId="0" applyNumberFormat="1" applyFont="1" applyFill="1" applyBorder="1" applyAlignment="1">
      <alignment horizontal="center" vertical="center" wrapText="1"/>
    </xf>
    <xf numFmtId="2" fontId="54" fillId="36" borderId="24" xfId="0" applyNumberFormat="1" applyFont="1" applyFill="1" applyBorder="1" applyAlignment="1">
      <alignment horizontal="center" vertical="center"/>
    </xf>
    <xf numFmtId="2" fontId="54" fillId="36" borderId="24" xfId="0" applyNumberFormat="1" applyFont="1" applyFill="1" applyBorder="1" applyAlignment="1">
      <alignment vertical="center"/>
    </xf>
    <xf numFmtId="2" fontId="54" fillId="36" borderId="50" xfId="0" applyNumberFormat="1" applyFont="1" applyFill="1" applyBorder="1" applyAlignment="1">
      <alignment horizontal="center" vertical="center"/>
    </xf>
    <xf numFmtId="2" fontId="53" fillId="36" borderId="50" xfId="0" applyNumberFormat="1" applyFont="1" applyFill="1" applyBorder="1" applyAlignment="1">
      <alignment vertical="center"/>
    </xf>
    <xf numFmtId="2" fontId="53" fillId="36" borderId="24" xfId="0" applyNumberFormat="1" applyFont="1" applyFill="1" applyBorder="1" applyAlignment="1">
      <alignment horizontal="left" vertical="center"/>
    </xf>
    <xf numFmtId="2" fontId="54" fillId="36" borderId="0" xfId="0" applyNumberFormat="1" applyFont="1" applyFill="1" applyAlignment="1">
      <alignment vertical="center"/>
    </xf>
    <xf numFmtId="0" fontId="86" fillId="33" borderId="34" xfId="0" applyFont="1" applyFill="1" applyBorder="1" applyAlignment="1">
      <alignment horizontal="center"/>
    </xf>
    <xf numFmtId="0" fontId="86" fillId="33" borderId="24" xfId="0" applyFont="1" applyFill="1" applyBorder="1" applyAlignment="1">
      <alignment horizontal="centerContinuous"/>
    </xf>
    <xf numFmtId="0" fontId="86" fillId="33" borderId="35" xfId="0" applyFont="1" applyFill="1" applyBorder="1" applyAlignment="1">
      <alignment horizontal="center"/>
    </xf>
    <xf numFmtId="0" fontId="86" fillId="33" borderId="24" xfId="0" applyFont="1" applyFill="1" applyBorder="1" applyAlignment="1">
      <alignment horizontal="center"/>
    </xf>
    <xf numFmtId="0" fontId="87" fillId="36" borderId="34" xfId="0" applyFont="1" applyFill="1" applyBorder="1" applyAlignment="1">
      <alignment horizontal="center" vertical="center" wrapText="1"/>
    </xf>
    <xf numFmtId="0" fontId="87" fillId="36" borderId="24" xfId="0" applyFont="1" applyFill="1" applyBorder="1" applyAlignment="1">
      <alignment horizontal="center"/>
    </xf>
    <xf numFmtId="0" fontId="87" fillId="36" borderId="24" xfId="0" applyFont="1" applyFill="1" applyBorder="1" applyAlignment="1">
      <alignment horizontal="center" vertical="center"/>
    </xf>
    <xf numFmtId="2" fontId="87" fillId="36" borderId="24" xfId="0" applyNumberFormat="1" applyFont="1" applyFill="1" applyBorder="1" applyAlignment="1">
      <alignment horizontal="center" vertical="center"/>
    </xf>
    <xf numFmtId="170" fontId="87" fillId="36" borderId="24" xfId="0" applyNumberFormat="1" applyFont="1" applyFill="1" applyBorder="1" applyAlignment="1">
      <alignment horizontal="center" vertical="center"/>
    </xf>
    <xf numFmtId="0" fontId="87" fillId="36" borderId="35" xfId="0" applyFont="1" applyFill="1" applyBorder="1" applyAlignment="1">
      <alignment horizontal="center" vertical="center"/>
    </xf>
    <xf numFmtId="169" fontId="0" fillId="0" borderId="0" xfId="0" applyNumberFormat="1"/>
    <xf numFmtId="170" fontId="0" fillId="0" borderId="0" xfId="0" applyNumberFormat="1"/>
    <xf numFmtId="0" fontId="54" fillId="36" borderId="37" xfId="415" applyFont="1" applyFill="1" applyBorder="1" applyAlignment="1">
      <alignment vertical="center" wrapText="1"/>
    </xf>
    <xf numFmtId="169" fontId="54" fillId="36" borderId="38" xfId="0" applyNumberFormat="1" applyFont="1" applyFill="1" applyBorder="1" applyAlignment="1">
      <alignment horizontal="right" vertical="center"/>
    </xf>
    <xf numFmtId="169" fontId="55" fillId="36" borderId="24" xfId="359" applyNumberFormat="1" applyFont="1" applyFill="1" applyBorder="1" applyAlignment="1">
      <alignment horizontal="right" vertical="center"/>
    </xf>
    <xf numFmtId="4" fontId="53" fillId="36" borderId="21" xfId="0" applyNumberFormat="1" applyFont="1" applyFill="1" applyBorder="1" applyAlignment="1">
      <alignment horizontal="center" vertical="center"/>
    </xf>
    <xf numFmtId="0" fontId="72" fillId="40" borderId="96" xfId="0" applyNumberFormat="1" applyFont="1" applyFill="1" applyBorder="1" applyAlignment="1" applyProtection="1">
      <alignment horizontal="left" vertical="top" readingOrder="1"/>
    </xf>
    <xf numFmtId="0" fontId="79" fillId="40" borderId="105" xfId="0" applyNumberFormat="1" applyFont="1" applyFill="1" applyBorder="1" applyAlignment="1" applyProtection="1">
      <alignment horizontal="center" vertical="center" readingOrder="1"/>
    </xf>
    <xf numFmtId="0" fontId="79" fillId="40" borderId="115" xfId="0" applyNumberFormat="1" applyFont="1" applyFill="1" applyBorder="1" applyAlignment="1" applyProtection="1">
      <alignment horizontal="center" vertical="center" readingOrder="1"/>
    </xf>
    <xf numFmtId="0" fontId="79" fillId="40" borderId="114" xfId="0" applyNumberFormat="1" applyFont="1" applyFill="1" applyBorder="1" applyAlignment="1" applyProtection="1">
      <alignment horizontal="center" vertical="center" readingOrder="1"/>
    </xf>
    <xf numFmtId="0" fontId="55" fillId="36" borderId="21" xfId="0" applyFont="1" applyFill="1" applyBorder="1" applyAlignment="1">
      <alignment horizontal="center" vertical="center" wrapText="1"/>
    </xf>
    <xf numFmtId="0" fontId="79" fillId="40" borderId="98" xfId="0" applyNumberFormat="1" applyFont="1" applyFill="1" applyBorder="1" applyAlignment="1" applyProtection="1">
      <alignment horizontal="center" vertical="center" readingOrder="1"/>
    </xf>
    <xf numFmtId="0" fontId="75" fillId="40" borderId="114" xfId="0" applyNumberFormat="1" applyFont="1" applyFill="1" applyBorder="1" applyAlignment="1" applyProtection="1">
      <alignment horizontal="center" vertical="center" readingOrder="1"/>
    </xf>
    <xf numFmtId="0" fontId="75" fillId="40" borderId="115" xfId="0" applyNumberFormat="1" applyFont="1" applyFill="1" applyBorder="1" applyAlignment="1" applyProtection="1">
      <alignment horizontal="center" vertical="center" readingOrder="1"/>
    </xf>
    <xf numFmtId="0" fontId="75" fillId="40" borderId="105" xfId="0" applyNumberFormat="1" applyFont="1" applyFill="1" applyBorder="1" applyAlignment="1" applyProtection="1">
      <alignment horizontal="center" vertical="center" readingOrder="1"/>
    </xf>
    <xf numFmtId="165" fontId="62" fillId="36" borderId="24" xfId="359" applyNumberFormat="1" applyFont="1" applyFill="1" applyBorder="1" applyAlignment="1">
      <alignment horizontal="right" vertical="center"/>
    </xf>
    <xf numFmtId="165" fontId="55" fillId="36" borderId="24" xfId="359" applyNumberFormat="1" applyFont="1" applyFill="1" applyBorder="1" applyAlignment="1">
      <alignment horizontal="right" vertical="center"/>
    </xf>
    <xf numFmtId="0" fontId="53" fillId="36" borderId="49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88" fillId="36" borderId="34" xfId="0" applyFont="1" applyFill="1" applyBorder="1" applyAlignment="1">
      <alignment horizontal="center" vertical="center"/>
    </xf>
    <xf numFmtId="0" fontId="89" fillId="36" borderId="24" xfId="0" applyFont="1" applyFill="1" applyBorder="1" applyAlignment="1">
      <alignment horizontal="center" vertical="center"/>
    </xf>
    <xf numFmtId="181" fontId="89" fillId="36" borderId="24" xfId="0" applyNumberFormat="1" applyFont="1" applyFill="1" applyBorder="1" applyAlignment="1">
      <alignment horizontal="center" vertical="center"/>
    </xf>
    <xf numFmtId="0" fontId="89" fillId="36" borderId="35" xfId="0" applyFont="1" applyFill="1" applyBorder="1" applyAlignment="1">
      <alignment horizontal="center" vertical="center"/>
    </xf>
    <xf numFmtId="0" fontId="88" fillId="36" borderId="36" xfId="0" applyFont="1" applyFill="1" applyBorder="1" applyAlignment="1">
      <alignment horizontal="center" vertical="center"/>
    </xf>
    <xf numFmtId="0" fontId="87" fillId="36" borderId="37" xfId="0" applyFont="1" applyFill="1" applyBorder="1" applyAlignment="1">
      <alignment horizontal="center" vertical="center"/>
    </xf>
    <xf numFmtId="0" fontId="89" fillId="36" borderId="37" xfId="0" applyFont="1" applyFill="1" applyBorder="1" applyAlignment="1">
      <alignment horizontal="center" vertical="center"/>
    </xf>
    <xf numFmtId="0" fontId="89" fillId="36" borderId="38" xfId="0" applyFont="1" applyFill="1" applyBorder="1" applyAlignment="1">
      <alignment horizontal="center" vertical="center"/>
    </xf>
    <xf numFmtId="0" fontId="69" fillId="36" borderId="79" xfId="0" applyFont="1" applyFill="1" applyBorder="1" applyAlignment="1">
      <alignment horizontal="left" vertical="center"/>
    </xf>
    <xf numFmtId="169" fontId="55" fillId="36" borderId="35" xfId="0" applyNumberFormat="1" applyFont="1" applyFill="1" applyBorder="1" applyAlignment="1">
      <alignment horizontal="right" vertical="center"/>
    </xf>
    <xf numFmtId="0" fontId="82" fillId="36" borderId="61" xfId="0" applyFont="1" applyFill="1" applyBorder="1" applyAlignment="1">
      <alignment horizontal="left"/>
    </xf>
    <xf numFmtId="0" fontId="82" fillId="36" borderId="27" xfId="0" applyFont="1" applyFill="1" applyBorder="1" applyAlignment="1">
      <alignment horizontal="left"/>
    </xf>
    <xf numFmtId="0" fontId="82" fillId="36" borderId="34" xfId="0" applyFont="1" applyFill="1" applyBorder="1" applyAlignment="1">
      <alignment horizontal="left"/>
    </xf>
    <xf numFmtId="0" fontId="82" fillId="36" borderId="24" xfId="0" applyFont="1" applyFill="1" applyBorder="1" applyAlignment="1">
      <alignment horizontal="left"/>
    </xf>
    <xf numFmtId="0" fontId="82" fillId="36" borderId="50" xfId="0" applyFont="1" applyFill="1" applyBorder="1" applyAlignment="1">
      <alignment horizontal="center" vertical="center"/>
    </xf>
    <xf numFmtId="0" fontId="82" fillId="36" borderId="24" xfId="0" applyFont="1" applyFill="1" applyBorder="1" applyAlignment="1">
      <alignment horizontal="center" vertical="center"/>
    </xf>
    <xf numFmtId="0" fontId="82" fillId="36" borderId="35" xfId="0" applyFont="1" applyFill="1" applyBorder="1" applyAlignment="1">
      <alignment horizontal="center" vertical="center"/>
    </xf>
    <xf numFmtId="0" fontId="87" fillId="36" borderId="61" xfId="0" applyFont="1" applyFill="1" applyBorder="1" applyAlignment="1">
      <alignment horizontal="center" vertical="center" wrapText="1"/>
    </xf>
    <xf numFmtId="0" fontId="87" fillId="36" borderId="50" xfId="0" applyFont="1" applyFill="1" applyBorder="1" applyAlignment="1">
      <alignment horizontal="center" vertical="center" wrapText="1"/>
    </xf>
    <xf numFmtId="0" fontId="87" fillId="36" borderId="65" xfId="0" applyFont="1" applyFill="1" applyBorder="1" applyAlignment="1">
      <alignment horizontal="center" vertical="center" wrapText="1"/>
    </xf>
    <xf numFmtId="0" fontId="55" fillId="36" borderId="79" xfId="0" applyFont="1" applyFill="1" applyBorder="1" applyAlignment="1">
      <alignment horizontal="center" vertical="center"/>
    </xf>
    <xf numFmtId="0" fontId="54" fillId="36" borderId="80" xfId="0" applyFont="1" applyFill="1" applyBorder="1" applyAlignment="1">
      <alignment horizontal="center" vertical="center"/>
    </xf>
    <xf numFmtId="0" fontId="54" fillId="36" borderId="59" xfId="0" applyFont="1" applyFill="1" applyBorder="1" applyAlignment="1">
      <alignment horizontal="center" vertical="center"/>
    </xf>
    <xf numFmtId="0" fontId="54" fillId="36" borderId="21" xfId="0" applyFont="1" applyFill="1" applyBorder="1" applyAlignment="1">
      <alignment horizontal="left" vertical="center"/>
    </xf>
    <xf numFmtId="0" fontId="54" fillId="36" borderId="60" xfId="0" applyFont="1" applyFill="1" applyBorder="1" applyAlignment="1">
      <alignment horizontal="left" vertical="center"/>
    </xf>
    <xf numFmtId="165" fontId="55" fillId="36" borderId="62" xfId="1040" applyFont="1" applyFill="1" applyBorder="1" applyAlignment="1">
      <alignment horizontal="center" vertical="center"/>
    </xf>
    <xf numFmtId="165" fontId="55" fillId="36" borderId="63" xfId="1040" applyFont="1" applyFill="1" applyBorder="1" applyAlignment="1">
      <alignment horizontal="center" vertical="center"/>
    </xf>
    <xf numFmtId="165" fontId="55" fillId="36" borderId="64" xfId="1040" applyFont="1" applyFill="1" applyBorder="1" applyAlignment="1">
      <alignment horizontal="center" vertical="center"/>
    </xf>
    <xf numFmtId="0" fontId="54" fillId="36" borderId="22" xfId="0" applyFont="1" applyFill="1" applyBorder="1" applyAlignment="1">
      <alignment horizontal="left" vertical="center"/>
    </xf>
    <xf numFmtId="0" fontId="55" fillId="36" borderId="21" xfId="0" applyFont="1" applyFill="1" applyBorder="1" applyAlignment="1">
      <alignment horizontal="left" vertical="center"/>
    </xf>
    <xf numFmtId="0" fontId="55" fillId="36" borderId="60" xfId="0" applyFont="1" applyFill="1" applyBorder="1" applyAlignment="1">
      <alignment horizontal="left" vertical="center"/>
    </xf>
    <xf numFmtId="0" fontId="55" fillId="36" borderId="22" xfId="0" applyFont="1" applyFill="1" applyBorder="1" applyAlignment="1">
      <alignment horizontal="left" vertical="center"/>
    </xf>
    <xf numFmtId="0" fontId="68" fillId="36" borderId="81" xfId="0" applyNumberFormat="1" applyFont="1" applyFill="1" applyBorder="1" applyAlignment="1">
      <alignment horizontal="center" vertical="center"/>
    </xf>
    <xf numFmtId="0" fontId="68" fillId="36" borderId="68" xfId="0" applyNumberFormat="1" applyFont="1" applyFill="1" applyBorder="1" applyAlignment="1">
      <alignment horizontal="center" vertical="center"/>
    </xf>
    <xf numFmtId="0" fontId="68" fillId="36" borderId="69" xfId="0" applyNumberFormat="1" applyFont="1" applyFill="1" applyBorder="1" applyAlignment="1">
      <alignment horizontal="center" vertical="center"/>
    </xf>
    <xf numFmtId="0" fontId="68" fillId="36" borderId="34" xfId="0" applyNumberFormat="1" applyFont="1" applyFill="1" applyBorder="1" applyAlignment="1">
      <alignment horizontal="center" vertical="center"/>
    </xf>
    <xf numFmtId="0" fontId="68" fillId="36" borderId="24" xfId="0" applyNumberFormat="1" applyFont="1" applyFill="1" applyBorder="1" applyAlignment="1">
      <alignment horizontal="center" vertical="center"/>
    </xf>
    <xf numFmtId="0" fontId="68" fillId="36" borderId="35" xfId="0" applyNumberFormat="1" applyFont="1" applyFill="1" applyBorder="1" applyAlignment="1">
      <alignment horizontal="center" vertical="center"/>
    </xf>
    <xf numFmtId="0" fontId="53" fillId="36" borderId="50" xfId="0" applyFont="1" applyFill="1" applyBorder="1" applyAlignment="1">
      <alignment horizontal="right" vertical="center"/>
    </xf>
    <xf numFmtId="0" fontId="56" fillId="36" borderId="77" xfId="0" applyNumberFormat="1" applyFont="1" applyFill="1" applyBorder="1" applyAlignment="1">
      <alignment horizontal="center" vertical="center"/>
    </xf>
    <xf numFmtId="0" fontId="56" fillId="36" borderId="40" xfId="0" applyNumberFormat="1" applyFont="1" applyFill="1" applyBorder="1" applyAlignment="1">
      <alignment horizontal="center" vertical="center"/>
    </xf>
    <xf numFmtId="0" fontId="56" fillId="36" borderId="78" xfId="0" applyNumberFormat="1" applyFont="1" applyFill="1" applyBorder="1" applyAlignment="1">
      <alignment horizontal="center" vertical="center"/>
    </xf>
    <xf numFmtId="0" fontId="55" fillId="36" borderId="21" xfId="0" applyFont="1" applyFill="1" applyBorder="1" applyAlignment="1">
      <alignment horizontal="left" vertical="center" wrapText="1"/>
    </xf>
    <xf numFmtId="0" fontId="54" fillId="36" borderId="60" xfId="0" applyFont="1" applyFill="1" applyBorder="1" applyAlignment="1">
      <alignment horizontal="left" vertical="center" wrapText="1"/>
    </xf>
    <xf numFmtId="0" fontId="54" fillId="36" borderId="22" xfId="0" applyFont="1" applyFill="1" applyBorder="1" applyAlignment="1">
      <alignment horizontal="left" vertical="center" wrapText="1"/>
    </xf>
    <xf numFmtId="172" fontId="53" fillId="36" borderId="75" xfId="498" applyNumberFormat="1" applyFont="1" applyFill="1" applyBorder="1" applyAlignment="1">
      <alignment horizontal="left" vertical="center"/>
    </xf>
    <xf numFmtId="172" fontId="53" fillId="36" borderId="76" xfId="498" applyNumberFormat="1" applyFont="1" applyFill="1" applyBorder="1" applyAlignment="1">
      <alignment horizontal="left" vertical="center"/>
    </xf>
    <xf numFmtId="0" fontId="64" fillId="36" borderId="77" xfId="0" applyNumberFormat="1" applyFont="1" applyFill="1" applyBorder="1" applyAlignment="1">
      <alignment horizontal="left" vertical="center"/>
    </xf>
    <xf numFmtId="0" fontId="64" fillId="36" borderId="48" xfId="0" applyNumberFormat="1" applyFont="1" applyFill="1" applyBorder="1" applyAlignment="1">
      <alignment horizontal="left" vertical="center"/>
    </xf>
    <xf numFmtId="0" fontId="64" fillId="36" borderId="40" xfId="0" applyNumberFormat="1" applyFont="1" applyFill="1" applyBorder="1" applyAlignment="1">
      <alignment horizontal="left" vertical="center"/>
    </xf>
    <xf numFmtId="0" fontId="64" fillId="36" borderId="52" xfId="0" applyNumberFormat="1" applyFont="1" applyFill="1" applyBorder="1" applyAlignment="1">
      <alignment horizontal="left" vertical="center"/>
    </xf>
    <xf numFmtId="0" fontId="64" fillId="36" borderId="78" xfId="0" applyNumberFormat="1" applyFont="1" applyFill="1" applyBorder="1" applyAlignment="1">
      <alignment horizontal="left" vertical="center"/>
    </xf>
    <xf numFmtId="0" fontId="64" fillId="36" borderId="46" xfId="0" applyNumberFormat="1" applyFont="1" applyFill="1" applyBorder="1" applyAlignment="1">
      <alignment horizontal="left" vertical="center"/>
    </xf>
    <xf numFmtId="0" fontId="54" fillId="36" borderId="61" xfId="0" applyNumberFormat="1" applyFont="1" applyFill="1" applyBorder="1" applyAlignment="1">
      <alignment horizontal="left" vertical="center"/>
    </xf>
    <xf numFmtId="0" fontId="54" fillId="36" borderId="27" xfId="0" applyNumberFormat="1" applyFont="1" applyFill="1" applyBorder="1" applyAlignment="1">
      <alignment horizontal="left" vertical="center"/>
    </xf>
    <xf numFmtId="0" fontId="53" fillId="36" borderId="24" xfId="0" applyNumberFormat="1" applyFont="1" applyFill="1" applyBorder="1" applyAlignment="1">
      <alignment horizontal="left" vertical="center"/>
    </xf>
    <xf numFmtId="0" fontId="53" fillId="36" borderId="35" xfId="0" applyNumberFormat="1" applyFont="1" applyFill="1" applyBorder="1" applyAlignment="1">
      <alignment horizontal="left" vertical="center"/>
    </xf>
    <xf numFmtId="0" fontId="53" fillId="36" borderId="25" xfId="0" applyFont="1" applyFill="1" applyBorder="1" applyAlignment="1">
      <alignment horizontal="left" vertical="center" wrapText="1"/>
    </xf>
    <xf numFmtId="0" fontId="53" fillId="36" borderId="66" xfId="0" applyFont="1" applyFill="1" applyBorder="1" applyAlignment="1">
      <alignment horizontal="left" vertical="center" wrapText="1"/>
    </xf>
    <xf numFmtId="0" fontId="56" fillId="36" borderId="78" xfId="0" applyFont="1" applyFill="1" applyBorder="1" applyAlignment="1">
      <alignment horizontal="left" vertical="center" wrapText="1"/>
    </xf>
    <xf numFmtId="0" fontId="56" fillId="36" borderId="47" xfId="0" applyFont="1" applyFill="1" applyBorder="1" applyAlignment="1">
      <alignment horizontal="left" vertical="center" wrapText="1"/>
    </xf>
    <xf numFmtId="0" fontId="56" fillId="36" borderId="67" xfId="0" applyFont="1" applyFill="1" applyBorder="1" applyAlignment="1">
      <alignment horizontal="left" vertical="center" wrapText="1"/>
    </xf>
    <xf numFmtId="4" fontId="64" fillId="36" borderId="69" xfId="0" applyNumberFormat="1" applyFont="1" applyFill="1" applyBorder="1" applyAlignment="1">
      <alignment horizontal="center" vertical="center"/>
    </xf>
    <xf numFmtId="4" fontId="64" fillId="36" borderId="62" xfId="0" applyNumberFormat="1" applyFont="1" applyFill="1" applyBorder="1" applyAlignment="1">
      <alignment horizontal="center" vertical="center"/>
    </xf>
    <xf numFmtId="0" fontId="64" fillId="36" borderId="81" xfId="0" applyFont="1" applyFill="1" applyBorder="1" applyAlignment="1">
      <alignment horizontal="center" vertical="center" wrapText="1"/>
    </xf>
    <xf numFmtId="0" fontId="64" fillId="36" borderId="68" xfId="0" applyFont="1" applyFill="1" applyBorder="1" applyAlignment="1">
      <alignment horizontal="center" vertical="center" wrapText="1"/>
    </xf>
    <xf numFmtId="0" fontId="56" fillId="36" borderId="34" xfId="0" applyFont="1" applyFill="1" applyBorder="1" applyAlignment="1">
      <alignment horizontal="left" vertical="center" wrapText="1"/>
    </xf>
    <xf numFmtId="0" fontId="56" fillId="36" borderId="24" xfId="0" applyFont="1" applyFill="1" applyBorder="1" applyAlignment="1">
      <alignment horizontal="left" vertical="center" wrapText="1"/>
    </xf>
    <xf numFmtId="0" fontId="56" fillId="36" borderId="49" xfId="0" applyFont="1" applyFill="1" applyBorder="1" applyAlignment="1">
      <alignment horizontal="left" vertical="center" wrapText="1"/>
    </xf>
    <xf numFmtId="0" fontId="56" fillId="36" borderId="50" xfId="0" applyFont="1" applyFill="1" applyBorder="1" applyAlignment="1">
      <alignment horizontal="left" vertical="center" wrapText="1"/>
    </xf>
    <xf numFmtId="0" fontId="56" fillId="36" borderId="27" xfId="0" applyFont="1" applyFill="1" applyBorder="1" applyAlignment="1">
      <alignment horizontal="left" vertical="center" wrapText="1"/>
    </xf>
    <xf numFmtId="0" fontId="56" fillId="36" borderId="25" xfId="0" applyFont="1" applyFill="1" applyBorder="1" applyAlignment="1">
      <alignment horizontal="left" vertical="center" wrapText="1"/>
    </xf>
    <xf numFmtId="0" fontId="56" fillId="36" borderId="26" xfId="0" applyFont="1" applyFill="1" applyBorder="1" applyAlignment="1">
      <alignment horizontal="left" vertical="center" wrapText="1"/>
    </xf>
    <xf numFmtId="0" fontId="56" fillId="36" borderId="48" xfId="0" applyFont="1" applyFill="1" applyBorder="1" applyAlignment="1">
      <alignment horizontal="left" vertical="center" wrapText="1"/>
    </xf>
    <xf numFmtId="0" fontId="56" fillId="36" borderId="44" xfId="0" applyFont="1" applyFill="1" applyBorder="1" applyAlignment="1">
      <alignment horizontal="left" vertical="center" wrapText="1"/>
    </xf>
    <xf numFmtId="0" fontId="56" fillId="36" borderId="46" xfId="0" applyFont="1" applyFill="1" applyBorder="1" applyAlignment="1">
      <alignment horizontal="left" vertical="center" wrapText="1"/>
    </xf>
    <xf numFmtId="0" fontId="56" fillId="36" borderId="77" xfId="0" applyFont="1" applyFill="1" applyBorder="1" applyAlignment="1">
      <alignment horizontal="left" vertical="center" wrapText="1"/>
    </xf>
    <xf numFmtId="4" fontId="64" fillId="36" borderId="63" xfId="0" applyNumberFormat="1" applyFont="1" applyFill="1" applyBorder="1" applyAlignment="1">
      <alignment horizontal="center" vertical="top"/>
    </xf>
    <xf numFmtId="4" fontId="64" fillId="36" borderId="64" xfId="0" applyNumberFormat="1" applyFont="1" applyFill="1" applyBorder="1" applyAlignment="1">
      <alignment horizontal="center" vertical="top"/>
    </xf>
    <xf numFmtId="4" fontId="53" fillId="36" borderId="60" xfId="0" applyNumberFormat="1" applyFont="1" applyFill="1" applyBorder="1" applyAlignment="1">
      <alignment horizontal="center" vertical="top"/>
    </xf>
    <xf numFmtId="4" fontId="53" fillId="36" borderId="22" xfId="0" applyNumberFormat="1" applyFont="1" applyFill="1" applyBorder="1" applyAlignment="1">
      <alignment horizontal="center" vertical="top"/>
    </xf>
    <xf numFmtId="169" fontId="54" fillId="36" borderId="0" xfId="0" applyNumberFormat="1" applyFont="1" applyFill="1" applyAlignment="1">
      <alignment horizontal="center" vertical="center"/>
    </xf>
    <xf numFmtId="0" fontId="64" fillId="36" borderId="49" xfId="0" applyFont="1" applyFill="1" applyBorder="1" applyAlignment="1">
      <alignment horizontal="left" vertical="center" wrapText="1"/>
    </xf>
    <xf numFmtId="0" fontId="64" fillId="36" borderId="50" xfId="0" applyFont="1" applyFill="1" applyBorder="1" applyAlignment="1">
      <alignment horizontal="left" vertical="center" wrapText="1"/>
    </xf>
    <xf numFmtId="0" fontId="64" fillId="36" borderId="27" xfId="0" applyFont="1" applyFill="1" applyBorder="1" applyAlignment="1">
      <alignment horizontal="left" vertical="center" wrapText="1"/>
    </xf>
    <xf numFmtId="0" fontId="64" fillId="36" borderId="25" xfId="0" applyFont="1" applyFill="1" applyBorder="1" applyAlignment="1">
      <alignment horizontal="center" vertical="center" wrapText="1"/>
    </xf>
    <xf numFmtId="0" fontId="64" fillId="36" borderId="26" xfId="0" applyFont="1" applyFill="1" applyBorder="1" applyAlignment="1">
      <alignment horizontal="center" vertical="center" wrapText="1"/>
    </xf>
    <xf numFmtId="0" fontId="64" fillId="36" borderId="48" xfId="0" applyFont="1" applyFill="1" applyBorder="1" applyAlignment="1">
      <alignment horizontal="center" vertical="center" wrapText="1"/>
    </xf>
    <xf numFmtId="0" fontId="64" fillId="36" borderId="51" xfId="0" applyFont="1" applyFill="1" applyBorder="1" applyAlignment="1">
      <alignment horizontal="center" vertical="center" wrapText="1"/>
    </xf>
    <xf numFmtId="0" fontId="64" fillId="36" borderId="0" xfId="0" applyFont="1" applyFill="1" applyBorder="1" applyAlignment="1">
      <alignment horizontal="center" vertical="center" wrapText="1"/>
    </xf>
    <xf numFmtId="0" fontId="64" fillId="36" borderId="52" xfId="0" applyFont="1" applyFill="1" applyBorder="1" applyAlignment="1">
      <alignment horizontal="center" vertical="center" wrapText="1"/>
    </xf>
    <xf numFmtId="0" fontId="64" fillId="36" borderId="44" xfId="0" applyFont="1" applyFill="1" applyBorder="1" applyAlignment="1">
      <alignment horizontal="center" vertical="center" wrapText="1"/>
    </xf>
    <xf numFmtId="0" fontId="64" fillId="36" borderId="47" xfId="0" applyFont="1" applyFill="1" applyBorder="1" applyAlignment="1">
      <alignment horizontal="center" vertical="center" wrapText="1"/>
    </xf>
    <xf numFmtId="0" fontId="64" fillId="36" borderId="46" xfId="0" applyFont="1" applyFill="1" applyBorder="1" applyAlignment="1">
      <alignment horizontal="center" vertical="center" wrapText="1"/>
    </xf>
    <xf numFmtId="0" fontId="53" fillId="36" borderId="25" xfId="0" applyFont="1" applyFill="1" applyBorder="1" applyAlignment="1">
      <alignment horizontal="center" vertical="center" wrapText="1"/>
    </xf>
    <xf numFmtId="0" fontId="53" fillId="36" borderId="26" xfId="0" applyFont="1" applyFill="1" applyBorder="1" applyAlignment="1">
      <alignment horizontal="center" vertical="center" wrapText="1"/>
    </xf>
    <xf numFmtId="0" fontId="53" fillId="36" borderId="44" xfId="0" applyFont="1" applyFill="1" applyBorder="1" applyAlignment="1">
      <alignment horizontal="center" vertical="center" wrapText="1"/>
    </xf>
    <xf numFmtId="0" fontId="53" fillId="36" borderId="47" xfId="0" applyFont="1" applyFill="1" applyBorder="1" applyAlignment="1">
      <alignment horizontal="center" vertical="center" wrapText="1"/>
    </xf>
    <xf numFmtId="0" fontId="68" fillId="36" borderId="49" xfId="0" applyFont="1" applyFill="1" applyBorder="1" applyAlignment="1">
      <alignment horizontal="center" vertical="center"/>
    </xf>
    <xf numFmtId="0" fontId="68" fillId="36" borderId="50" xfId="0" applyFont="1" applyFill="1" applyBorder="1" applyAlignment="1">
      <alignment horizontal="center" vertical="center"/>
    </xf>
    <xf numFmtId="0" fontId="68" fillId="36" borderId="27" xfId="0" applyFont="1" applyFill="1" applyBorder="1" applyAlignment="1">
      <alignment horizontal="center" vertical="center"/>
    </xf>
    <xf numFmtId="0" fontId="53" fillId="36" borderId="25" xfId="0" applyFont="1" applyFill="1" applyBorder="1" applyAlignment="1">
      <alignment horizontal="center" vertical="center"/>
    </xf>
    <xf numFmtId="0" fontId="53" fillId="36" borderId="26" xfId="0" applyFont="1" applyFill="1" applyBorder="1" applyAlignment="1">
      <alignment horizontal="center" vertical="center"/>
    </xf>
    <xf numFmtId="0" fontId="53" fillId="36" borderId="44" xfId="0" applyFont="1" applyFill="1" applyBorder="1" applyAlignment="1">
      <alignment horizontal="center" vertical="center"/>
    </xf>
    <xf numFmtId="0" fontId="53" fillId="36" borderId="47" xfId="0" applyFont="1" applyFill="1" applyBorder="1" applyAlignment="1">
      <alignment horizontal="center" vertical="center"/>
    </xf>
    <xf numFmtId="4" fontId="53" fillId="36" borderId="48" xfId="1040" applyNumberFormat="1" applyFont="1" applyFill="1" applyBorder="1" applyAlignment="1">
      <alignment horizontal="center" vertical="center" wrapText="1"/>
    </xf>
    <xf numFmtId="4" fontId="53" fillId="36" borderId="46" xfId="1040" applyNumberFormat="1" applyFont="1" applyFill="1" applyBorder="1" applyAlignment="1">
      <alignment horizontal="center" vertical="center" wrapText="1"/>
    </xf>
    <xf numFmtId="0" fontId="53" fillId="36" borderId="25" xfId="1040" applyNumberFormat="1" applyFont="1" applyFill="1" applyBorder="1" applyAlignment="1">
      <alignment horizontal="center" vertical="center" wrapText="1"/>
    </xf>
    <xf numFmtId="0" fontId="53" fillId="36" borderId="44" xfId="1040" applyNumberFormat="1" applyFont="1" applyFill="1" applyBorder="1" applyAlignment="1">
      <alignment horizontal="center" vertical="center" wrapText="1"/>
    </xf>
    <xf numFmtId="4" fontId="53" fillId="36" borderId="48" xfId="1040" applyNumberFormat="1" applyFont="1" applyFill="1" applyBorder="1" applyAlignment="1">
      <alignment horizontal="center" vertical="center"/>
    </xf>
    <xf numFmtId="4" fontId="53" fillId="36" borderId="46" xfId="1040" applyNumberFormat="1" applyFont="1" applyFill="1" applyBorder="1" applyAlignment="1">
      <alignment horizontal="center" vertical="center"/>
    </xf>
    <xf numFmtId="4" fontId="53" fillId="36" borderId="21" xfId="0" applyNumberFormat="1" applyFont="1" applyFill="1" applyBorder="1" applyAlignment="1">
      <alignment horizontal="center" vertical="center"/>
    </xf>
    <xf numFmtId="4" fontId="53" fillId="36" borderId="22" xfId="0" applyNumberFormat="1" applyFont="1" applyFill="1" applyBorder="1" applyAlignment="1">
      <alignment horizontal="center" vertical="center"/>
    </xf>
    <xf numFmtId="0" fontId="56" fillId="36" borderId="21" xfId="0" applyFont="1" applyFill="1" applyBorder="1" applyAlignment="1">
      <alignment horizontal="center" vertical="center"/>
    </xf>
    <xf numFmtId="0" fontId="56" fillId="36" borderId="22" xfId="0" applyFont="1" applyFill="1" applyBorder="1" applyAlignment="1">
      <alignment horizontal="center" vertical="center"/>
    </xf>
    <xf numFmtId="0" fontId="53" fillId="36" borderId="82" xfId="0" applyFont="1" applyFill="1" applyBorder="1" applyAlignment="1" applyProtection="1">
      <alignment horizontal="center" vertical="center"/>
    </xf>
    <xf numFmtId="0" fontId="53" fillId="36" borderId="55" xfId="0" applyFont="1" applyFill="1" applyBorder="1" applyAlignment="1" applyProtection="1">
      <alignment horizontal="center" vertical="center"/>
    </xf>
    <xf numFmtId="0" fontId="53" fillId="36" borderId="83" xfId="0" applyFont="1" applyFill="1" applyBorder="1" applyAlignment="1" applyProtection="1">
      <alignment horizontal="center" vertical="center"/>
    </xf>
    <xf numFmtId="4" fontId="65" fillId="0" borderId="25" xfId="0" applyNumberFormat="1" applyFont="1" applyFill="1" applyBorder="1" applyAlignment="1">
      <alignment horizontal="center" vertical="center"/>
    </xf>
    <xf numFmtId="4" fontId="65" fillId="0" borderId="26" xfId="0" applyNumberFormat="1" applyFont="1" applyFill="1" applyBorder="1" applyAlignment="1">
      <alignment horizontal="center" vertical="center"/>
    </xf>
    <xf numFmtId="4" fontId="65" fillId="0" borderId="48" xfId="0" applyNumberFormat="1" applyFont="1" applyFill="1" applyBorder="1" applyAlignment="1">
      <alignment horizontal="center" vertical="center"/>
    </xf>
    <xf numFmtId="178" fontId="65" fillId="0" borderId="44" xfId="0" applyNumberFormat="1" applyFont="1" applyBorder="1" applyAlignment="1">
      <alignment horizontal="center" vertical="center"/>
    </xf>
    <xf numFmtId="178" fontId="65" fillId="0" borderId="47" xfId="0" applyNumberFormat="1" applyFont="1" applyBorder="1" applyAlignment="1">
      <alignment horizontal="center" vertical="center"/>
    </xf>
    <xf numFmtId="178" fontId="65" fillId="0" borderId="46" xfId="0" applyNumberFormat="1" applyFont="1" applyBorder="1" applyAlignment="1">
      <alignment horizontal="center" vertical="center"/>
    </xf>
    <xf numFmtId="0" fontId="65" fillId="36" borderId="49" xfId="0" applyFont="1" applyFill="1" applyBorder="1" applyAlignment="1">
      <alignment horizontal="center" vertical="center"/>
    </xf>
    <xf numFmtId="0" fontId="65" fillId="36" borderId="50" xfId="0" applyFont="1" applyFill="1" applyBorder="1" applyAlignment="1">
      <alignment horizontal="center" vertical="center"/>
    </xf>
    <xf numFmtId="0" fontId="65" fillId="36" borderId="27" xfId="0" applyFont="1" applyFill="1" applyBorder="1" applyAlignment="1">
      <alignment horizontal="center" vertical="center"/>
    </xf>
    <xf numFmtId="4" fontId="65" fillId="0" borderId="49" xfId="0" applyNumberFormat="1" applyFont="1" applyFill="1" applyBorder="1" applyAlignment="1">
      <alignment horizontal="center" vertical="center"/>
    </xf>
    <xf numFmtId="4" fontId="65" fillId="0" borderId="50" xfId="0" applyNumberFormat="1" applyFont="1" applyFill="1" applyBorder="1" applyAlignment="1">
      <alignment horizontal="center" vertical="center"/>
    </xf>
    <xf numFmtId="4" fontId="65" fillId="0" borderId="27" xfId="0" applyNumberFormat="1" applyFont="1" applyFill="1" applyBorder="1" applyAlignment="1">
      <alignment horizontal="center" vertical="center"/>
    </xf>
    <xf numFmtId="180" fontId="65" fillId="0" borderId="49" xfId="0" applyNumberFormat="1" applyFont="1" applyBorder="1" applyAlignment="1">
      <alignment horizontal="center" vertical="center"/>
    </xf>
    <xf numFmtId="180" fontId="65" fillId="0" borderId="50" xfId="0" applyNumberFormat="1" applyFont="1" applyBorder="1" applyAlignment="1">
      <alignment horizontal="center" vertical="center"/>
    </xf>
    <xf numFmtId="180" fontId="65" fillId="0" borderId="27" xfId="0" applyNumberFormat="1" applyFont="1" applyBorder="1" applyAlignment="1">
      <alignment horizontal="center" vertical="center"/>
    </xf>
    <xf numFmtId="9" fontId="65" fillId="0" borderId="49" xfId="0" applyNumberFormat="1" applyFont="1" applyBorder="1" applyAlignment="1">
      <alignment horizontal="center" vertical="center"/>
    </xf>
    <xf numFmtId="9" fontId="65" fillId="0" borderId="50" xfId="0" applyNumberFormat="1" applyFont="1" applyBorder="1" applyAlignment="1">
      <alignment horizontal="center" vertical="center"/>
    </xf>
    <xf numFmtId="9" fontId="65" fillId="0" borderId="27" xfId="0" applyNumberFormat="1" applyFont="1" applyBorder="1" applyAlignment="1">
      <alignment horizontal="center" vertical="center"/>
    </xf>
    <xf numFmtId="9" fontId="65" fillId="0" borderId="44" xfId="0" applyNumberFormat="1" applyFont="1" applyBorder="1" applyAlignment="1">
      <alignment horizontal="center" vertical="center"/>
    </xf>
    <xf numFmtId="9" fontId="65" fillId="0" borderId="47" xfId="0" applyNumberFormat="1" applyFont="1" applyBorder="1" applyAlignment="1">
      <alignment horizontal="center" vertical="center"/>
    </xf>
    <xf numFmtId="9" fontId="65" fillId="0" borderId="46" xfId="0" applyNumberFormat="1" applyFont="1" applyBorder="1" applyAlignment="1">
      <alignment horizontal="center" vertical="center"/>
    </xf>
    <xf numFmtId="180" fontId="65" fillId="0" borderId="49" xfId="0" applyNumberFormat="1" applyFont="1" applyFill="1" applyBorder="1" applyAlignment="1">
      <alignment horizontal="center" vertical="center"/>
    </xf>
    <xf numFmtId="180" fontId="65" fillId="0" borderId="50" xfId="0" applyNumberFormat="1" applyFont="1" applyFill="1" applyBorder="1" applyAlignment="1">
      <alignment horizontal="center" vertical="center"/>
    </xf>
    <xf numFmtId="180" fontId="65" fillId="0" borderId="27" xfId="0" applyNumberFormat="1" applyFont="1" applyFill="1" applyBorder="1" applyAlignment="1">
      <alignment horizontal="center" vertical="center"/>
    </xf>
    <xf numFmtId="0" fontId="64" fillId="0" borderId="25" xfId="0" applyFont="1" applyBorder="1" applyAlignment="1">
      <alignment horizontal="center" vertical="center" wrapText="1"/>
    </xf>
    <xf numFmtId="0" fontId="64" fillId="0" borderId="26" xfId="0" applyFont="1" applyBorder="1" applyAlignment="1">
      <alignment horizontal="center" vertical="center" wrapText="1"/>
    </xf>
    <xf numFmtId="0" fontId="64" fillId="0" borderId="48" xfId="0" applyFont="1" applyBorder="1" applyAlignment="1">
      <alignment horizontal="center" vertical="center" wrapText="1"/>
    </xf>
    <xf numFmtId="0" fontId="64" fillId="0" borderId="51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 wrapText="1"/>
    </xf>
    <xf numFmtId="0" fontId="64" fillId="0" borderId="52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 wrapText="1"/>
    </xf>
    <xf numFmtId="0" fontId="64" fillId="0" borderId="47" xfId="0" applyFont="1" applyBorder="1" applyAlignment="1">
      <alignment horizontal="center" vertical="center" wrapText="1"/>
    </xf>
    <xf numFmtId="0" fontId="64" fillId="0" borderId="46" xfId="0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8" xfId="0" applyFont="1" applyBorder="1" applyAlignment="1">
      <alignment horizontal="center" vertical="center"/>
    </xf>
    <xf numFmtId="0" fontId="64" fillId="0" borderId="51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52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7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8" fillId="0" borderId="49" xfId="0" applyFont="1" applyBorder="1" applyAlignment="1">
      <alignment horizontal="center" vertical="center"/>
    </xf>
    <xf numFmtId="0" fontId="68" fillId="0" borderId="50" xfId="0" applyFont="1" applyBorder="1" applyAlignment="1">
      <alignment horizontal="center" vertical="center"/>
    </xf>
    <xf numFmtId="0" fontId="68" fillId="0" borderId="27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wrapText="1"/>
    </xf>
    <xf numFmtId="0" fontId="64" fillId="0" borderId="26" xfId="0" applyFont="1" applyBorder="1" applyAlignment="1">
      <alignment horizontal="center" wrapText="1"/>
    </xf>
    <xf numFmtId="0" fontId="64" fillId="0" borderId="48" xfId="0" applyFont="1" applyBorder="1" applyAlignment="1">
      <alignment horizontal="center" wrapText="1"/>
    </xf>
    <xf numFmtId="0" fontId="66" fillId="0" borderId="26" xfId="0" applyFont="1" applyBorder="1" applyAlignment="1">
      <alignment horizontal="center" vertical="center"/>
    </xf>
    <xf numFmtId="0" fontId="66" fillId="0" borderId="48" xfId="0" applyFont="1" applyBorder="1" applyAlignment="1">
      <alignment horizontal="center" vertical="center"/>
    </xf>
    <xf numFmtId="0" fontId="53" fillId="0" borderId="49" xfId="0" applyFont="1" applyBorder="1" applyAlignment="1">
      <alignment horizontal="center" vertical="center"/>
    </xf>
    <xf numFmtId="0" fontId="53" fillId="0" borderId="27" xfId="0" applyFont="1" applyBorder="1" applyAlignment="1">
      <alignment horizontal="center" vertical="center"/>
    </xf>
    <xf numFmtId="0" fontId="65" fillId="0" borderId="24" xfId="0" applyFont="1" applyBorder="1" applyAlignment="1">
      <alignment horizontal="center" vertical="center"/>
    </xf>
    <xf numFmtId="0" fontId="65" fillId="0" borderId="27" xfId="0" applyFont="1" applyBorder="1" applyAlignment="1">
      <alignment horizontal="center" vertical="center"/>
    </xf>
    <xf numFmtId="0" fontId="65" fillId="0" borderId="21" xfId="0" applyFont="1" applyBorder="1" applyAlignment="1">
      <alignment horizontal="center" vertical="center"/>
    </xf>
    <xf numFmtId="0" fontId="65" fillId="0" borderId="60" xfId="0" applyFont="1" applyBorder="1" applyAlignment="1">
      <alignment horizontal="center" vertical="center"/>
    </xf>
    <xf numFmtId="0" fontId="65" fillId="0" borderId="25" xfId="0" applyFont="1" applyBorder="1" applyAlignment="1">
      <alignment horizontal="left" vertical="center" indent="1"/>
    </xf>
    <xf numFmtId="0" fontId="65" fillId="0" borderId="48" xfId="0" applyFont="1" applyBorder="1" applyAlignment="1">
      <alignment horizontal="left" vertical="center" indent="1"/>
    </xf>
    <xf numFmtId="0" fontId="65" fillId="0" borderId="51" xfId="0" applyFont="1" applyBorder="1" applyAlignment="1">
      <alignment horizontal="left" vertical="center" indent="1"/>
    </xf>
    <xf numFmtId="0" fontId="65" fillId="0" borderId="52" xfId="0" applyFont="1" applyBorder="1" applyAlignment="1">
      <alignment horizontal="left" vertical="center" indent="1"/>
    </xf>
    <xf numFmtId="2" fontId="65" fillId="0" borderId="21" xfId="0" applyNumberFormat="1" applyFont="1" applyBorder="1" applyAlignment="1">
      <alignment horizontal="center" vertical="center"/>
    </xf>
    <xf numFmtId="2" fontId="65" fillId="0" borderId="60" xfId="0" applyNumberFormat="1" applyFont="1" applyBorder="1" applyAlignment="1">
      <alignment horizontal="center" vertical="center"/>
    </xf>
    <xf numFmtId="39" fontId="65" fillId="0" borderId="21" xfId="1040" applyNumberFormat="1" applyFont="1" applyBorder="1" applyAlignment="1">
      <alignment horizontal="center" vertical="center"/>
    </xf>
    <xf numFmtId="39" fontId="65" fillId="0" borderId="60" xfId="1040" applyNumberFormat="1" applyFont="1" applyBorder="1" applyAlignment="1">
      <alignment horizontal="center" vertical="center"/>
    </xf>
    <xf numFmtId="39" fontId="65" fillId="0" borderId="22" xfId="1040" applyNumberFormat="1" applyFont="1" applyBorder="1" applyAlignment="1">
      <alignment horizontal="center" vertical="center"/>
    </xf>
    <xf numFmtId="0" fontId="65" fillId="34" borderId="49" xfId="0" applyFont="1" applyFill="1" applyBorder="1" applyAlignment="1">
      <alignment horizontal="center" vertical="center"/>
    </xf>
    <xf numFmtId="0" fontId="65" fillId="34" borderId="50" xfId="0" applyFont="1" applyFill="1" applyBorder="1" applyAlignment="1">
      <alignment horizontal="center" vertical="center"/>
    </xf>
    <xf numFmtId="0" fontId="65" fillId="34" borderId="27" xfId="0" applyFont="1" applyFill="1" applyBorder="1" applyAlignment="1">
      <alignment horizontal="center" vertical="center"/>
    </xf>
    <xf numFmtId="0" fontId="65" fillId="0" borderId="25" xfId="0" applyFont="1" applyBorder="1" applyAlignment="1">
      <alignment horizontal="left" vertical="center" wrapText="1" indent="1"/>
    </xf>
    <xf numFmtId="0" fontId="65" fillId="0" borderId="48" xfId="0" applyFont="1" applyBorder="1" applyAlignment="1">
      <alignment horizontal="left" vertical="center" wrapText="1" indent="1"/>
    </xf>
    <xf numFmtId="0" fontId="65" fillId="0" borderId="51" xfId="0" applyFont="1" applyBorder="1" applyAlignment="1">
      <alignment horizontal="left" vertical="center" wrapText="1" indent="1"/>
    </xf>
    <xf numFmtId="0" fontId="65" fillId="0" borderId="52" xfId="0" applyFont="1" applyBorder="1" applyAlignment="1">
      <alignment horizontal="left" vertical="center" wrapText="1" indent="1"/>
    </xf>
    <xf numFmtId="2" fontId="65" fillId="0" borderId="24" xfId="0" applyNumberFormat="1" applyFont="1" applyBorder="1" applyAlignment="1">
      <alignment horizontal="center" vertical="center"/>
    </xf>
    <xf numFmtId="180" fontId="65" fillId="36" borderId="44" xfId="0" applyNumberFormat="1" applyFont="1" applyFill="1" applyBorder="1" applyAlignment="1">
      <alignment horizontal="center" vertical="center"/>
    </xf>
    <xf numFmtId="180" fontId="65" fillId="36" borderId="47" xfId="0" applyNumberFormat="1" applyFont="1" applyFill="1" applyBorder="1" applyAlignment="1">
      <alignment horizontal="center" vertical="center"/>
    </xf>
    <xf numFmtId="180" fontId="65" fillId="36" borderId="46" xfId="0" applyNumberFormat="1" applyFont="1" applyFill="1" applyBorder="1" applyAlignment="1">
      <alignment horizontal="center" vertical="center"/>
    </xf>
    <xf numFmtId="165" fontId="65" fillId="0" borderId="49" xfId="1040" applyFont="1" applyBorder="1" applyAlignment="1">
      <alignment vertical="center"/>
    </xf>
    <xf numFmtId="165" fontId="65" fillId="0" borderId="50" xfId="1040" applyFont="1" applyBorder="1" applyAlignment="1">
      <alignment vertical="center"/>
    </xf>
    <xf numFmtId="165" fontId="65" fillId="0" borderId="27" xfId="1040" applyFont="1" applyBorder="1" applyAlignment="1">
      <alignment vertical="center"/>
    </xf>
    <xf numFmtId="9" fontId="65" fillId="0" borderId="44" xfId="0" applyNumberFormat="1" applyFont="1" applyBorder="1" applyAlignment="1">
      <alignment horizontal="left" vertical="center" indent="2"/>
    </xf>
    <xf numFmtId="9" fontId="65" fillId="0" borderId="46" xfId="0" applyNumberFormat="1" applyFont="1" applyBorder="1" applyAlignment="1">
      <alignment horizontal="left" vertical="center" indent="2"/>
    </xf>
    <xf numFmtId="180" fontId="65" fillId="36" borderId="25" xfId="0" applyNumberFormat="1" applyFont="1" applyFill="1" applyBorder="1" applyAlignment="1">
      <alignment horizontal="center" vertical="center"/>
    </xf>
    <xf numFmtId="180" fontId="65" fillId="36" borderId="26" xfId="0" applyNumberFormat="1" applyFont="1" applyFill="1" applyBorder="1" applyAlignment="1">
      <alignment horizontal="center" vertical="center"/>
    </xf>
    <xf numFmtId="10" fontId="65" fillId="0" borderId="49" xfId="0" applyNumberFormat="1" applyFont="1" applyBorder="1" applyAlignment="1">
      <alignment horizontal="center" vertical="center"/>
    </xf>
    <xf numFmtId="10" fontId="65" fillId="0" borderId="50" xfId="0" applyNumberFormat="1" applyFont="1" applyBorder="1" applyAlignment="1">
      <alignment horizontal="center" vertical="center"/>
    </xf>
    <xf numFmtId="10" fontId="65" fillId="0" borderId="27" xfId="0" applyNumberFormat="1" applyFont="1" applyBorder="1" applyAlignment="1">
      <alignment horizontal="center" vertical="center"/>
    </xf>
    <xf numFmtId="0" fontId="65" fillId="0" borderId="25" xfId="0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48" xfId="0" applyFont="1" applyBorder="1" applyAlignment="1">
      <alignment horizontal="center" vertical="center"/>
    </xf>
    <xf numFmtId="0" fontId="65" fillId="0" borderId="44" xfId="0" applyFont="1" applyBorder="1" applyAlignment="1">
      <alignment horizontal="center" vertical="center"/>
    </xf>
    <xf numFmtId="0" fontId="65" fillId="0" borderId="47" xfId="0" applyFont="1" applyBorder="1" applyAlignment="1">
      <alignment horizontal="center" vertical="center"/>
    </xf>
    <xf numFmtId="0" fontId="65" fillId="0" borderId="46" xfId="0" applyFont="1" applyBorder="1" applyAlignment="1">
      <alignment horizontal="center" vertical="center"/>
    </xf>
    <xf numFmtId="9" fontId="65" fillId="0" borderId="49" xfId="0" applyNumberFormat="1" applyFont="1" applyBorder="1" applyAlignment="1">
      <alignment horizontal="left" vertical="center" indent="2"/>
    </xf>
    <xf numFmtId="9" fontId="65" fillId="0" borderId="27" xfId="0" applyNumberFormat="1" applyFont="1" applyBorder="1" applyAlignment="1">
      <alignment horizontal="left" vertical="center" indent="2"/>
    </xf>
    <xf numFmtId="3" fontId="56" fillId="36" borderId="82" xfId="0" applyNumberFormat="1" applyFont="1" applyFill="1" applyBorder="1" applyAlignment="1">
      <alignment horizontal="center" vertical="center" wrapText="1"/>
    </xf>
    <xf numFmtId="3" fontId="56" fillId="36" borderId="55" xfId="0" applyNumberFormat="1" applyFont="1" applyFill="1" applyBorder="1" applyAlignment="1">
      <alignment horizontal="center" vertical="center" wrapText="1"/>
    </xf>
    <xf numFmtId="3" fontId="56" fillId="36" borderId="83" xfId="0" applyNumberFormat="1" applyFont="1" applyFill="1" applyBorder="1" applyAlignment="1">
      <alignment horizontal="center" vertical="center" wrapText="1"/>
    </xf>
    <xf numFmtId="3" fontId="55" fillId="36" borderId="60" xfId="0" applyNumberFormat="1" applyFont="1" applyFill="1" applyBorder="1" applyAlignment="1">
      <alignment horizontal="center" vertical="center" wrapText="1"/>
    </xf>
    <xf numFmtId="0" fontId="55" fillId="36" borderId="60" xfId="0" applyFont="1" applyFill="1" applyBorder="1" applyAlignment="1">
      <alignment horizontal="center" vertical="center" wrapText="1"/>
    </xf>
    <xf numFmtId="3" fontId="55" fillId="36" borderId="21" xfId="0" applyNumberFormat="1" applyFont="1" applyFill="1" applyBorder="1" applyAlignment="1">
      <alignment horizontal="center" vertical="center" wrapText="1"/>
    </xf>
    <xf numFmtId="3" fontId="55" fillId="36" borderId="62" xfId="0" applyNumberFormat="1" applyFont="1" applyFill="1" applyBorder="1" applyAlignment="1">
      <alignment horizontal="center" vertical="center" wrapText="1"/>
    </xf>
    <xf numFmtId="3" fontId="55" fillId="36" borderId="63" xfId="0" applyNumberFormat="1" applyFont="1" applyFill="1" applyBorder="1" applyAlignment="1">
      <alignment horizontal="center" vertical="center" wrapText="1"/>
    </xf>
    <xf numFmtId="3" fontId="55" fillId="36" borderId="49" xfId="0" applyNumberFormat="1" applyFont="1" applyFill="1" applyBorder="1" applyAlignment="1">
      <alignment horizontal="center" vertical="center" wrapText="1"/>
    </xf>
    <xf numFmtId="0" fontId="55" fillId="36" borderId="27" xfId="0" applyFont="1" applyFill="1" applyBorder="1" applyAlignment="1">
      <alignment horizontal="center" vertical="center" wrapText="1"/>
    </xf>
    <xf numFmtId="0" fontId="55" fillId="36" borderId="21" xfId="0" applyFont="1" applyFill="1" applyBorder="1" applyAlignment="1">
      <alignment horizontal="center" vertical="center" wrapText="1"/>
    </xf>
    <xf numFmtId="3" fontId="55" fillId="36" borderId="25" xfId="0" applyNumberFormat="1" applyFont="1" applyFill="1" applyBorder="1" applyAlignment="1">
      <alignment horizontal="center" vertical="center"/>
    </xf>
    <xf numFmtId="0" fontId="55" fillId="36" borderId="26" xfId="0" applyFont="1" applyFill="1" applyBorder="1" applyAlignment="1">
      <alignment horizontal="center" vertical="center"/>
    </xf>
    <xf numFmtId="0" fontId="55" fillId="36" borderId="48" xfId="0" applyFont="1" applyFill="1" applyBorder="1" applyAlignment="1">
      <alignment horizontal="center" vertical="center"/>
    </xf>
    <xf numFmtId="0" fontId="55" fillId="36" borderId="51" xfId="0" applyFont="1" applyFill="1" applyBorder="1" applyAlignment="1">
      <alignment horizontal="center" vertical="center"/>
    </xf>
    <xf numFmtId="0" fontId="55" fillId="36" borderId="0" xfId="0" applyFont="1" applyFill="1" applyBorder="1" applyAlignment="1">
      <alignment horizontal="center" vertical="center"/>
    </xf>
    <xf numFmtId="0" fontId="55" fillId="36" borderId="52" xfId="0" applyFont="1" applyFill="1" applyBorder="1" applyAlignment="1">
      <alignment horizontal="center" vertical="center"/>
    </xf>
    <xf numFmtId="0" fontId="56" fillId="36" borderId="81" xfId="0" applyFont="1" applyFill="1" applyBorder="1" applyAlignment="1">
      <alignment horizontal="center" vertical="center"/>
    </xf>
    <xf numFmtId="0" fontId="55" fillId="36" borderId="68" xfId="0" applyFont="1" applyFill="1" applyBorder="1" applyAlignment="1">
      <alignment horizontal="center" vertical="center"/>
    </xf>
    <xf numFmtId="0" fontId="55" fillId="36" borderId="69" xfId="0" applyFont="1" applyFill="1" applyBorder="1" applyAlignment="1">
      <alignment horizontal="center" vertical="center"/>
    </xf>
    <xf numFmtId="3" fontId="56" fillId="36" borderId="34" xfId="0" applyNumberFormat="1" applyFont="1" applyFill="1" applyBorder="1" applyAlignment="1">
      <alignment horizontal="center" vertical="center"/>
    </xf>
    <xf numFmtId="3" fontId="56" fillId="36" borderId="24" xfId="0" applyNumberFormat="1" applyFont="1" applyFill="1" applyBorder="1" applyAlignment="1">
      <alignment horizontal="center" vertical="center"/>
    </xf>
    <xf numFmtId="3" fontId="56" fillId="36" borderId="35" xfId="0" applyNumberFormat="1" applyFont="1" applyFill="1" applyBorder="1" applyAlignment="1">
      <alignment horizontal="center" vertical="center"/>
    </xf>
    <xf numFmtId="3" fontId="55" fillId="36" borderId="79" xfId="0" applyNumberFormat="1" applyFont="1" applyFill="1" applyBorder="1" applyAlignment="1">
      <alignment horizontal="center" vertical="center"/>
    </xf>
    <xf numFmtId="0" fontId="55" fillId="36" borderId="80" xfId="0" applyFont="1" applyFill="1" applyBorder="1" applyAlignment="1">
      <alignment horizontal="center" vertical="center"/>
    </xf>
    <xf numFmtId="3" fontId="55" fillId="36" borderId="49" xfId="0" applyNumberFormat="1" applyFont="1" applyFill="1" applyBorder="1" applyAlignment="1">
      <alignment horizontal="center" vertical="center"/>
    </xf>
    <xf numFmtId="3" fontId="55" fillId="36" borderId="50" xfId="0" applyNumberFormat="1" applyFont="1" applyFill="1" applyBorder="1" applyAlignment="1">
      <alignment horizontal="center" vertical="center"/>
    </xf>
    <xf numFmtId="3" fontId="55" fillId="36" borderId="27" xfId="0" applyNumberFormat="1" applyFont="1" applyFill="1" applyBorder="1" applyAlignment="1">
      <alignment horizontal="center" vertical="center"/>
    </xf>
    <xf numFmtId="3" fontId="55" fillId="36" borderId="50" xfId="0" applyNumberFormat="1" applyFont="1" applyFill="1" applyBorder="1" applyAlignment="1">
      <alignment horizontal="center" vertical="center" wrapText="1"/>
    </xf>
    <xf numFmtId="3" fontId="55" fillId="36" borderId="27" xfId="0" applyNumberFormat="1" applyFont="1" applyFill="1" applyBorder="1" applyAlignment="1">
      <alignment horizontal="center" vertical="center" wrapText="1"/>
    </xf>
    <xf numFmtId="0" fontId="70" fillId="36" borderId="0" xfId="0" applyFont="1" applyFill="1" applyBorder="1" applyAlignment="1">
      <alignment horizontal="center" vertical="center"/>
    </xf>
    <xf numFmtId="0" fontId="54" fillId="36" borderId="0" xfId="0" applyFont="1" applyFill="1" applyBorder="1" applyAlignment="1">
      <alignment vertical="center"/>
    </xf>
    <xf numFmtId="10" fontId="58" fillId="36" borderId="0" xfId="0" applyNumberFormat="1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vertical="center"/>
    </xf>
    <xf numFmtId="0" fontId="59" fillId="36" borderId="0" xfId="0" applyFont="1" applyFill="1" applyBorder="1" applyAlignment="1">
      <alignment horizontal="center" vertical="center"/>
    </xf>
    <xf numFmtId="0" fontId="54" fillId="36" borderId="30" xfId="0" applyFont="1" applyFill="1" applyBorder="1" applyAlignment="1">
      <alignment vertical="center"/>
    </xf>
    <xf numFmtId="164" fontId="64" fillId="0" borderId="108" xfId="0" applyNumberFormat="1" applyFont="1" applyBorder="1" applyAlignment="1">
      <alignment horizontal="center" vertical="center"/>
    </xf>
    <xf numFmtId="0" fontId="54" fillId="0" borderId="109" xfId="0" applyFont="1" applyBorder="1" applyAlignment="1">
      <alignment vertical="center"/>
    </xf>
    <xf numFmtId="10" fontId="64" fillId="0" borderId="110" xfId="0" applyNumberFormat="1" applyFont="1" applyBorder="1" applyAlignment="1">
      <alignment horizontal="center" vertical="center"/>
    </xf>
    <xf numFmtId="10" fontId="54" fillId="0" borderId="111" xfId="0" applyNumberFormat="1" applyFont="1" applyBorder="1" applyAlignment="1">
      <alignment vertical="center"/>
    </xf>
    <xf numFmtId="1" fontId="54" fillId="0" borderId="96" xfId="0" applyNumberFormat="1" applyFont="1" applyBorder="1" applyAlignment="1">
      <alignment horizontal="left" vertical="center"/>
    </xf>
    <xf numFmtId="0" fontId="54" fillId="0" borderId="97" xfId="0" applyFont="1" applyBorder="1" applyAlignment="1">
      <alignment vertical="center"/>
    </xf>
    <xf numFmtId="0" fontId="54" fillId="0" borderId="98" xfId="0" applyFont="1" applyBorder="1" applyAlignment="1">
      <alignment vertical="center"/>
    </xf>
    <xf numFmtId="1" fontId="54" fillId="0" borderId="97" xfId="0" applyNumberFormat="1" applyFont="1" applyBorder="1" applyAlignment="1">
      <alignment horizontal="left" vertical="center"/>
    </xf>
    <xf numFmtId="1" fontId="54" fillId="0" borderId="98" xfId="0" applyNumberFormat="1" applyFont="1" applyBorder="1" applyAlignment="1">
      <alignment horizontal="left" vertical="center"/>
    </xf>
    <xf numFmtId="1" fontId="53" fillId="0" borderId="96" xfId="0" applyNumberFormat="1" applyFont="1" applyBorder="1" applyAlignment="1">
      <alignment horizontal="left" vertical="center"/>
    </xf>
    <xf numFmtId="40" fontId="64" fillId="0" borderId="110" xfId="0" applyNumberFormat="1" applyFont="1" applyBorder="1" applyAlignment="1">
      <alignment horizontal="center" vertical="center"/>
    </xf>
    <xf numFmtId="0" fontId="54" fillId="0" borderId="111" xfId="0" applyFont="1" applyBorder="1" applyAlignment="1">
      <alignment vertical="center"/>
    </xf>
    <xf numFmtId="0" fontId="59" fillId="0" borderId="112" xfId="0" applyFont="1" applyBorder="1" applyAlignment="1">
      <alignment horizontal="center" vertical="center" wrapText="1"/>
    </xf>
    <xf numFmtId="0" fontId="54" fillId="0" borderId="113" xfId="0" applyFont="1" applyBorder="1" applyAlignment="1">
      <alignment vertical="center"/>
    </xf>
    <xf numFmtId="0" fontId="54" fillId="0" borderId="114" xfId="0" applyFont="1" applyBorder="1" applyAlignment="1">
      <alignment vertical="center"/>
    </xf>
    <xf numFmtId="0" fontId="54" fillId="0" borderId="40" xfId="0" applyFont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115" xfId="0" applyFont="1" applyBorder="1" applyAlignment="1">
      <alignment vertical="center"/>
    </xf>
    <xf numFmtId="1" fontId="56" fillId="36" borderId="40" xfId="0" applyNumberFormat="1" applyFont="1" applyFill="1" applyBorder="1" applyAlignment="1">
      <alignment horizontal="left" vertical="center"/>
    </xf>
    <xf numFmtId="1" fontId="56" fillId="36" borderId="0" xfId="0" applyNumberFormat="1" applyFont="1" applyFill="1" applyBorder="1" applyAlignment="1">
      <alignment horizontal="left" vertical="center"/>
    </xf>
    <xf numFmtId="1" fontId="56" fillId="36" borderId="29" xfId="0" applyNumberFormat="1" applyFont="1" applyFill="1" applyBorder="1" applyAlignment="1">
      <alignment horizontal="left" vertical="center"/>
    </xf>
    <xf numFmtId="0" fontId="56" fillId="0" borderId="106" xfId="0" applyFont="1" applyBorder="1" applyAlignment="1">
      <alignment horizontal="center" vertical="center"/>
    </xf>
    <xf numFmtId="0" fontId="54" fillId="0" borderId="107" xfId="0" applyFont="1" applyBorder="1" applyAlignment="1">
      <alignment vertical="center"/>
    </xf>
    <xf numFmtId="1" fontId="54" fillId="36" borderId="41" xfId="0" applyNumberFormat="1" applyFont="1" applyFill="1" applyBorder="1" applyAlignment="1">
      <alignment horizontal="left" vertical="center"/>
    </xf>
    <xf numFmtId="1" fontId="54" fillId="36" borderId="30" xfId="0" applyNumberFormat="1" applyFont="1" applyFill="1" applyBorder="1" applyAlignment="1">
      <alignment horizontal="left" vertical="center"/>
    </xf>
    <xf numFmtId="0" fontId="54" fillId="36" borderId="31" xfId="0" applyFont="1" applyFill="1" applyBorder="1" applyAlignment="1">
      <alignment vertical="center"/>
    </xf>
    <xf numFmtId="1" fontId="54" fillId="38" borderId="96" xfId="0" applyNumberFormat="1" applyFont="1" applyFill="1" applyBorder="1" applyAlignment="1">
      <alignment horizontal="left" vertical="center"/>
    </xf>
    <xf numFmtId="0" fontId="54" fillId="38" borderId="97" xfId="0" applyFont="1" applyFill="1" applyBorder="1" applyAlignment="1">
      <alignment vertical="center"/>
    </xf>
    <xf numFmtId="0" fontId="54" fillId="38" borderId="98" xfId="0" applyFont="1" applyFill="1" applyBorder="1" applyAlignment="1">
      <alignment vertical="center"/>
    </xf>
    <xf numFmtId="1" fontId="60" fillId="38" borderId="96" xfId="0" applyNumberFormat="1" applyFont="1" applyFill="1" applyBorder="1" applyAlignment="1">
      <alignment horizontal="left" vertical="center"/>
    </xf>
    <xf numFmtId="0" fontId="60" fillId="38" borderId="97" xfId="0" applyFont="1" applyFill="1" applyBorder="1" applyAlignment="1">
      <alignment vertical="center"/>
    </xf>
    <xf numFmtId="0" fontId="60" fillId="38" borderId="98" xfId="0" applyFont="1" applyFill="1" applyBorder="1" applyAlignment="1">
      <alignment vertical="center"/>
    </xf>
    <xf numFmtId="1" fontId="64" fillId="36" borderId="39" xfId="0" applyNumberFormat="1" applyFont="1" applyFill="1" applyBorder="1" applyAlignment="1">
      <alignment horizontal="center" vertical="center"/>
    </xf>
    <xf numFmtId="1" fontId="64" fillId="36" borderId="32" xfId="0" applyNumberFormat="1" applyFont="1" applyFill="1" applyBorder="1" applyAlignment="1">
      <alignment horizontal="center" vertical="center"/>
    </xf>
    <xf numFmtId="1" fontId="64" fillId="36" borderId="33" xfId="0" applyNumberFormat="1" applyFont="1" applyFill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0" fontId="54" fillId="0" borderId="32" xfId="0" applyFont="1" applyBorder="1" applyAlignment="1">
      <alignment vertical="center"/>
    </xf>
    <xf numFmtId="0" fontId="54" fillId="0" borderId="100" xfId="0" applyFont="1" applyBorder="1" applyAlignment="1">
      <alignment vertical="center"/>
    </xf>
    <xf numFmtId="0" fontId="54" fillId="0" borderId="101" xfId="0" applyFont="1" applyBorder="1" applyAlignment="1">
      <alignment vertical="center"/>
    </xf>
    <xf numFmtId="0" fontId="54" fillId="0" borderId="30" xfId="0" applyFont="1" applyBorder="1" applyAlignment="1">
      <alignment vertical="center"/>
    </xf>
    <xf numFmtId="0" fontId="54" fillId="0" borderId="102" xfId="0" applyFont="1" applyBorder="1" applyAlignment="1">
      <alignment vertical="center"/>
    </xf>
    <xf numFmtId="1" fontId="53" fillId="0" borderId="103" xfId="0" applyNumberFormat="1" applyFont="1" applyBorder="1" applyAlignment="1">
      <alignment horizontal="left" vertical="center"/>
    </xf>
    <xf numFmtId="0" fontId="54" fillId="0" borderId="104" xfId="0" applyFont="1" applyBorder="1" applyAlignment="1">
      <alignment vertical="center"/>
    </xf>
    <xf numFmtId="0" fontId="54" fillId="0" borderId="105" xfId="0" applyFont="1" applyBorder="1" applyAlignment="1">
      <alignment vertical="center"/>
    </xf>
    <xf numFmtId="0" fontId="64" fillId="36" borderId="40" xfId="0" applyFont="1" applyFill="1" applyBorder="1" applyAlignment="1">
      <alignment horizontal="center" vertical="center"/>
    </xf>
    <xf numFmtId="0" fontId="64" fillId="36" borderId="0" xfId="0" applyFont="1" applyFill="1" applyBorder="1" applyAlignment="1">
      <alignment horizontal="center" vertical="center"/>
    </xf>
    <xf numFmtId="0" fontId="64" fillId="36" borderId="29" xfId="0" applyFont="1" applyFill="1" applyBorder="1" applyAlignment="1">
      <alignment horizontal="center" vertical="center"/>
    </xf>
    <xf numFmtId="0" fontId="64" fillId="36" borderId="41" xfId="0" applyFont="1" applyFill="1" applyBorder="1" applyAlignment="1">
      <alignment horizontal="center" vertical="center"/>
    </xf>
    <xf numFmtId="0" fontId="64" fillId="36" borderId="30" xfId="0" applyFont="1" applyFill="1" applyBorder="1" applyAlignment="1">
      <alignment horizontal="center" vertical="center"/>
    </xf>
    <xf numFmtId="0" fontId="64" fillId="36" borderId="31" xfId="0" applyFont="1" applyFill="1" applyBorder="1" applyAlignment="1">
      <alignment horizontal="center" vertical="center"/>
    </xf>
    <xf numFmtId="1" fontId="53" fillId="36" borderId="39" xfId="0" applyNumberFormat="1" applyFont="1" applyFill="1" applyBorder="1" applyAlignment="1">
      <alignment horizontal="left" vertical="center" wrapText="1"/>
    </xf>
    <xf numFmtId="1" fontId="53" fillId="36" borderId="32" xfId="0" applyNumberFormat="1" applyFont="1" applyFill="1" applyBorder="1" applyAlignment="1">
      <alignment horizontal="left" vertical="center" wrapText="1"/>
    </xf>
    <xf numFmtId="1" fontId="53" fillId="36" borderId="33" xfId="0" applyNumberFormat="1" applyFont="1" applyFill="1" applyBorder="1" applyAlignment="1">
      <alignment horizontal="left" vertical="center" wrapText="1"/>
    </xf>
    <xf numFmtId="1" fontId="53" fillId="36" borderId="41" xfId="0" applyNumberFormat="1" applyFont="1" applyFill="1" applyBorder="1" applyAlignment="1">
      <alignment horizontal="left" vertical="center" wrapText="1"/>
    </xf>
    <xf numFmtId="1" fontId="53" fillId="36" borderId="30" xfId="0" applyNumberFormat="1" applyFont="1" applyFill="1" applyBorder="1" applyAlignment="1">
      <alignment horizontal="left" vertical="center" wrapText="1"/>
    </xf>
    <xf numFmtId="1" fontId="53" fillId="36" borderId="31" xfId="0" applyNumberFormat="1" applyFont="1" applyFill="1" applyBorder="1" applyAlignment="1">
      <alignment horizontal="left" vertical="center" wrapText="1"/>
    </xf>
    <xf numFmtId="1" fontId="64" fillId="36" borderId="41" xfId="0" applyNumberFormat="1" applyFont="1" applyFill="1" applyBorder="1" applyAlignment="1">
      <alignment horizontal="center" vertical="center"/>
    </xf>
    <xf numFmtId="1" fontId="64" fillId="36" borderId="30" xfId="0" applyNumberFormat="1" applyFont="1" applyFill="1" applyBorder="1" applyAlignment="1">
      <alignment horizontal="center" vertical="center"/>
    </xf>
    <xf numFmtId="1" fontId="64" fillId="36" borderId="31" xfId="0" applyNumberFormat="1" applyFont="1" applyFill="1" applyBorder="1" applyAlignment="1">
      <alignment horizontal="center" vertical="center"/>
    </xf>
    <xf numFmtId="1" fontId="53" fillId="0" borderId="96" xfId="0" applyNumberFormat="1" applyFont="1" applyBorder="1" applyAlignment="1">
      <alignment horizontal="left"/>
    </xf>
    <xf numFmtId="0" fontId="54" fillId="0" borderId="97" xfId="0" applyFont="1" applyBorder="1"/>
    <xf numFmtId="0" fontId="54" fillId="0" borderId="98" xfId="0" applyFont="1" applyBorder="1"/>
    <xf numFmtId="1" fontId="64" fillId="36" borderId="39" xfId="0" applyNumberFormat="1" applyFont="1" applyFill="1" applyBorder="1" applyAlignment="1">
      <alignment horizontal="center"/>
    </xf>
    <xf numFmtId="1" fontId="64" fillId="36" borderId="32" xfId="0" applyNumberFormat="1" applyFont="1" applyFill="1" applyBorder="1" applyAlignment="1">
      <alignment horizontal="center"/>
    </xf>
    <xf numFmtId="1" fontId="64" fillId="36" borderId="33" xfId="0" applyNumberFormat="1" applyFont="1" applyFill="1" applyBorder="1" applyAlignment="1">
      <alignment horizontal="center"/>
    </xf>
    <xf numFmtId="0" fontId="54" fillId="0" borderId="107" xfId="0" applyFont="1" applyBorder="1"/>
    <xf numFmtId="0" fontId="54" fillId="0" borderId="32" xfId="0" applyFont="1" applyBorder="1"/>
    <xf numFmtId="0" fontId="54" fillId="0" borderId="100" xfId="0" applyFont="1" applyBorder="1"/>
    <xf numFmtId="0" fontId="54" fillId="0" borderId="101" xfId="0" applyFont="1" applyBorder="1"/>
    <xf numFmtId="0" fontId="54" fillId="0" borderId="30" xfId="0" applyFont="1" applyBorder="1"/>
    <xf numFmtId="0" fontId="54" fillId="0" borderId="102" xfId="0" applyFont="1" applyBorder="1"/>
    <xf numFmtId="1" fontId="53" fillId="0" borderId="103" xfId="0" applyNumberFormat="1" applyFont="1" applyBorder="1" applyAlignment="1">
      <alignment horizontal="left"/>
    </xf>
    <xf numFmtId="0" fontId="54" fillId="0" borderId="104" xfId="0" applyFont="1" applyBorder="1"/>
    <xf numFmtId="0" fontId="54" fillId="0" borderId="105" xfId="0" applyFont="1" applyBorder="1"/>
    <xf numFmtId="1" fontId="54" fillId="0" borderId="96" xfId="0" applyNumberFormat="1" applyFont="1" applyBorder="1" applyAlignment="1">
      <alignment horizontal="left"/>
    </xf>
    <xf numFmtId="1" fontId="64" fillId="36" borderId="41" xfId="0" applyNumberFormat="1" applyFont="1" applyFill="1" applyBorder="1" applyAlignment="1">
      <alignment horizontal="center"/>
    </xf>
    <xf numFmtId="1" fontId="64" fillId="36" borderId="30" xfId="0" applyNumberFormat="1" applyFont="1" applyFill="1" applyBorder="1" applyAlignment="1">
      <alignment horizontal="center"/>
    </xf>
    <xf numFmtId="1" fontId="64" fillId="36" borderId="31" xfId="0" applyNumberFormat="1" applyFont="1" applyFill="1" applyBorder="1" applyAlignment="1">
      <alignment horizontal="center"/>
    </xf>
    <xf numFmtId="1" fontId="56" fillId="36" borderId="40" xfId="0" applyNumberFormat="1" applyFont="1" applyFill="1" applyBorder="1" applyAlignment="1">
      <alignment horizontal="left"/>
    </xf>
    <xf numFmtId="1" fontId="56" fillId="36" borderId="0" xfId="0" applyNumberFormat="1" applyFont="1" applyFill="1" applyBorder="1" applyAlignment="1">
      <alignment horizontal="left"/>
    </xf>
    <xf numFmtId="1" fontId="56" fillId="36" borderId="29" xfId="0" applyNumberFormat="1" applyFont="1" applyFill="1" applyBorder="1" applyAlignment="1">
      <alignment horizontal="left"/>
    </xf>
    <xf numFmtId="1" fontId="54" fillId="36" borderId="41" xfId="0" applyNumberFormat="1" applyFont="1" applyFill="1" applyBorder="1" applyAlignment="1">
      <alignment horizontal="left"/>
    </xf>
    <xf numFmtId="0" fontId="54" fillId="36" borderId="30" xfId="0" applyFont="1" applyFill="1" applyBorder="1"/>
    <xf numFmtId="1" fontId="54" fillId="36" borderId="30" xfId="0" applyNumberFormat="1" applyFont="1" applyFill="1" applyBorder="1" applyAlignment="1">
      <alignment horizontal="left"/>
    </xf>
    <xf numFmtId="0" fontId="54" fillId="36" borderId="31" xfId="0" applyFont="1" applyFill="1" applyBorder="1"/>
    <xf numFmtId="1" fontId="54" fillId="0" borderId="97" xfId="0" applyNumberFormat="1" applyFont="1" applyBorder="1" applyAlignment="1">
      <alignment horizontal="left"/>
    </xf>
    <xf numFmtId="1" fontId="54" fillId="0" borderId="98" xfId="0" applyNumberFormat="1" applyFont="1" applyBorder="1" applyAlignment="1">
      <alignment horizontal="left"/>
    </xf>
    <xf numFmtId="1" fontId="54" fillId="38" borderId="96" xfId="0" applyNumberFormat="1" applyFont="1" applyFill="1" applyBorder="1" applyAlignment="1">
      <alignment horizontal="left"/>
    </xf>
    <xf numFmtId="0" fontId="54" fillId="38" borderId="97" xfId="0" applyFont="1" applyFill="1" applyBorder="1"/>
    <xf numFmtId="0" fontId="54" fillId="38" borderId="98" xfId="0" applyFont="1" applyFill="1" applyBorder="1"/>
    <xf numFmtId="1" fontId="60" fillId="38" borderId="96" xfId="0" applyNumberFormat="1" applyFont="1" applyFill="1" applyBorder="1" applyAlignment="1">
      <alignment horizontal="left"/>
    </xf>
    <xf numFmtId="0" fontId="60" fillId="38" borderId="97" xfId="0" applyFont="1" applyFill="1" applyBorder="1"/>
    <xf numFmtId="0" fontId="60" fillId="38" borderId="98" xfId="0" applyFont="1" applyFill="1" applyBorder="1"/>
    <xf numFmtId="0" fontId="54" fillId="0" borderId="109" xfId="0" applyFont="1" applyBorder="1"/>
    <xf numFmtId="10" fontId="54" fillId="0" borderId="111" xfId="0" applyNumberFormat="1" applyFont="1" applyBorder="1"/>
    <xf numFmtId="0" fontId="54" fillId="0" borderId="111" xfId="0" applyFont="1" applyBorder="1"/>
    <xf numFmtId="0" fontId="54" fillId="36" borderId="0" xfId="0" applyFont="1" applyFill="1" applyBorder="1"/>
    <xf numFmtId="0" fontId="57" fillId="36" borderId="0" xfId="0" applyFont="1" applyFill="1" applyBorder="1"/>
    <xf numFmtId="0" fontId="54" fillId="0" borderId="113" xfId="0" applyFont="1" applyBorder="1"/>
    <xf numFmtId="0" fontId="54" fillId="0" borderId="114" xfId="0" applyFont="1" applyBorder="1"/>
    <xf numFmtId="0" fontId="54" fillId="0" borderId="40" xfId="0" applyFont="1" applyBorder="1"/>
    <xf numFmtId="0" fontId="54" fillId="0" borderId="0" xfId="0" applyFont="1" applyBorder="1"/>
    <xf numFmtId="0" fontId="54" fillId="0" borderId="115" xfId="0" applyFont="1" applyBorder="1"/>
    <xf numFmtId="0" fontId="84" fillId="39" borderId="39" xfId="0" applyFont="1" applyFill="1" applyBorder="1" applyAlignment="1">
      <alignment horizontal="center" vertical="center" wrapText="1"/>
    </xf>
    <xf numFmtId="0" fontId="84" fillId="39" borderId="32" xfId="0" applyFont="1" applyFill="1" applyBorder="1" applyAlignment="1">
      <alignment horizontal="center" vertical="center" wrapText="1"/>
    </xf>
    <xf numFmtId="0" fontId="84" fillId="39" borderId="33" xfId="0" applyFont="1" applyFill="1" applyBorder="1" applyAlignment="1">
      <alignment horizontal="center" vertical="center" wrapText="1"/>
    </xf>
    <xf numFmtId="0" fontId="83" fillId="36" borderId="61" xfId="0" applyFont="1" applyFill="1" applyBorder="1" applyAlignment="1">
      <alignment horizontal="center" vertical="center"/>
    </xf>
    <xf numFmtId="0" fontId="83" fillId="36" borderId="50" xfId="0" applyFont="1" applyFill="1" applyBorder="1" applyAlignment="1">
      <alignment horizontal="center" vertical="center"/>
    </xf>
    <xf numFmtId="0" fontId="83" fillId="36" borderId="65" xfId="0" applyFont="1" applyFill="1" applyBorder="1" applyAlignment="1">
      <alignment horizontal="center" vertical="center"/>
    </xf>
    <xf numFmtId="0" fontId="82" fillId="36" borderId="61" xfId="0" applyFont="1" applyFill="1" applyBorder="1" applyAlignment="1">
      <alignment horizontal="left" vertical="center"/>
    </xf>
    <xf numFmtId="0" fontId="82" fillId="36" borderId="27" xfId="0" applyFont="1" applyFill="1" applyBorder="1" applyAlignment="1">
      <alignment horizontal="left" vertical="center"/>
    </xf>
    <xf numFmtId="0" fontId="82" fillId="36" borderId="61" xfId="0" applyFont="1" applyFill="1" applyBorder="1" applyAlignment="1">
      <alignment horizontal="center" vertical="center"/>
    </xf>
    <xf numFmtId="0" fontId="82" fillId="36" borderId="27" xfId="0" applyFont="1" applyFill="1" applyBorder="1" applyAlignment="1">
      <alignment horizontal="center" vertical="center"/>
    </xf>
    <xf numFmtId="0" fontId="82" fillId="36" borderId="61" xfId="0" applyFont="1" applyFill="1" applyBorder="1" applyAlignment="1">
      <alignment horizontal="left"/>
    </xf>
    <xf numFmtId="0" fontId="82" fillId="36" borderId="27" xfId="0" applyFont="1" applyFill="1" applyBorder="1" applyAlignment="1">
      <alignment horizontal="left"/>
    </xf>
    <xf numFmtId="0" fontId="82" fillId="36" borderId="34" xfId="0" applyFont="1" applyFill="1" applyBorder="1" applyAlignment="1">
      <alignment horizontal="left"/>
    </xf>
    <xf numFmtId="0" fontId="82" fillId="36" borderId="24" xfId="0" applyFont="1" applyFill="1" applyBorder="1" applyAlignment="1">
      <alignment horizontal="left"/>
    </xf>
    <xf numFmtId="0" fontId="82" fillId="36" borderId="50" xfId="0" applyFont="1" applyFill="1" applyBorder="1" applyAlignment="1">
      <alignment horizontal="center" vertical="center"/>
    </xf>
    <xf numFmtId="0" fontId="82" fillId="36" borderId="65" xfId="0" applyFont="1" applyFill="1" applyBorder="1" applyAlignment="1">
      <alignment horizontal="center" vertical="center"/>
    </xf>
    <xf numFmtId="0" fontId="82" fillId="36" borderId="34" xfId="0" applyFont="1" applyFill="1" applyBorder="1" applyAlignment="1">
      <alignment horizontal="left" vertical="center"/>
    </xf>
    <xf numFmtId="0" fontId="82" fillId="36" borderId="24" xfId="0" applyFont="1" applyFill="1" applyBorder="1" applyAlignment="1">
      <alignment horizontal="left" vertical="center"/>
    </xf>
    <xf numFmtId="0" fontId="82" fillId="36" borderId="84" xfId="0" applyFont="1" applyFill="1" applyBorder="1" applyAlignment="1">
      <alignment horizontal="left" vertical="center"/>
    </xf>
    <xf numFmtId="0" fontId="82" fillId="36" borderId="45" xfId="0" applyFont="1" applyFill="1" applyBorder="1" applyAlignment="1">
      <alignment horizontal="left" vertical="center"/>
    </xf>
    <xf numFmtId="0" fontId="82" fillId="36" borderId="85" xfId="0" applyFont="1" applyFill="1" applyBorder="1" applyAlignment="1">
      <alignment horizontal="left" vertical="center"/>
    </xf>
    <xf numFmtId="0" fontId="84" fillId="39" borderId="82" xfId="0" applyFont="1" applyFill="1" applyBorder="1" applyAlignment="1">
      <alignment horizontal="center"/>
    </xf>
    <xf numFmtId="0" fontId="84" fillId="39" borderId="55" xfId="0" applyFont="1" applyFill="1" applyBorder="1" applyAlignment="1">
      <alignment horizontal="center"/>
    </xf>
    <xf numFmtId="0" fontId="84" fillId="39" borderId="83" xfId="0" applyFont="1" applyFill="1" applyBorder="1" applyAlignment="1">
      <alignment horizontal="center"/>
    </xf>
    <xf numFmtId="0" fontId="82" fillId="36" borderId="81" xfId="0" applyFont="1" applyFill="1" applyBorder="1" applyAlignment="1">
      <alignment horizontal="left" vertical="center"/>
    </xf>
    <xf numFmtId="0" fontId="82" fillId="36" borderId="68" xfId="0" applyFont="1" applyFill="1" applyBorder="1" applyAlignment="1">
      <alignment horizontal="left" vertical="center"/>
    </xf>
    <xf numFmtId="0" fontId="81" fillId="39" borderId="61" xfId="0" applyFont="1" applyFill="1" applyBorder="1" applyAlignment="1">
      <alignment horizontal="center" vertical="center"/>
    </xf>
    <xf numFmtId="0" fontId="81" fillId="39" borderId="50" xfId="0" applyFont="1" applyFill="1" applyBorder="1" applyAlignment="1">
      <alignment horizontal="center" vertical="center"/>
    </xf>
    <xf numFmtId="0" fontId="81" fillId="39" borderId="65" xfId="0" applyFont="1" applyFill="1" applyBorder="1" applyAlignment="1">
      <alignment horizontal="center" vertical="center"/>
    </xf>
    <xf numFmtId="0" fontId="85" fillId="39" borderId="39" xfId="0" applyFont="1" applyFill="1" applyBorder="1" applyAlignment="1">
      <alignment horizontal="center" vertical="center" wrapText="1"/>
    </xf>
    <xf numFmtId="0" fontId="85" fillId="39" borderId="32" xfId="0" applyFont="1" applyFill="1" applyBorder="1" applyAlignment="1">
      <alignment horizontal="center" vertical="center" wrapText="1"/>
    </xf>
    <xf numFmtId="0" fontId="85" fillId="39" borderId="33" xfId="0" applyFont="1" applyFill="1" applyBorder="1" applyAlignment="1">
      <alignment horizontal="center" vertical="center" wrapText="1"/>
    </xf>
    <xf numFmtId="0" fontId="85" fillId="39" borderId="78" xfId="0" applyFont="1" applyFill="1" applyBorder="1" applyAlignment="1">
      <alignment horizontal="center" vertical="center" wrapText="1"/>
    </xf>
    <xf numFmtId="0" fontId="85" fillId="39" borderId="47" xfId="0" applyFont="1" applyFill="1" applyBorder="1" applyAlignment="1">
      <alignment horizontal="center" vertical="center" wrapText="1"/>
    </xf>
    <xf numFmtId="0" fontId="85" fillId="39" borderId="67" xfId="0" applyFont="1" applyFill="1" applyBorder="1" applyAlignment="1">
      <alignment horizontal="center" vertical="center" wrapText="1"/>
    </xf>
    <xf numFmtId="0" fontId="87" fillId="36" borderId="61" xfId="0" applyFont="1" applyFill="1" applyBorder="1" applyAlignment="1">
      <alignment horizontal="center" vertical="center" wrapText="1"/>
    </xf>
    <xf numFmtId="0" fontId="87" fillId="36" borderId="50" xfId="0" applyFont="1" applyFill="1" applyBorder="1" applyAlignment="1">
      <alignment horizontal="center" vertical="center" wrapText="1"/>
    </xf>
    <xf numFmtId="0" fontId="87" fillId="36" borderId="65" xfId="0" applyFont="1" applyFill="1" applyBorder="1" applyAlignment="1">
      <alignment horizontal="center" vertical="center" wrapText="1"/>
    </xf>
    <xf numFmtId="0" fontId="80" fillId="40" borderId="117" xfId="0" applyNumberFormat="1" applyFont="1" applyFill="1" applyBorder="1" applyAlignment="1" applyProtection="1">
      <alignment horizontal="left" vertical="top" readingOrder="1"/>
    </xf>
    <xf numFmtId="0" fontId="77" fillId="40" borderId="0" xfId="0" applyNumberFormat="1" applyFont="1" applyFill="1" applyBorder="1" applyAlignment="1" applyProtection="1">
      <alignment horizontal="right" vertical="center" readingOrder="1"/>
    </xf>
    <xf numFmtId="4" fontId="78" fillId="40" borderId="0" xfId="0" applyNumberFormat="1" applyFont="1" applyFill="1" applyBorder="1" applyAlignment="1" applyProtection="1">
      <alignment horizontal="right" vertical="center" readingOrder="1"/>
    </xf>
    <xf numFmtId="4" fontId="78" fillId="40" borderId="115" xfId="0" applyNumberFormat="1" applyFont="1" applyFill="1" applyBorder="1" applyAlignment="1" applyProtection="1">
      <alignment horizontal="right" vertical="center" readingOrder="1"/>
    </xf>
    <xf numFmtId="0" fontId="79" fillId="40" borderId="111" xfId="0" applyNumberFormat="1" applyFont="1" applyFill="1" applyBorder="1" applyAlignment="1" applyProtection="1">
      <alignment horizontal="left" vertical="center" wrapText="1" readingOrder="1"/>
    </xf>
    <xf numFmtId="0" fontId="79" fillId="40" borderId="111" xfId="0" applyNumberFormat="1" applyFont="1" applyFill="1" applyBorder="1" applyAlignment="1" applyProtection="1">
      <alignment horizontal="center" vertical="center" readingOrder="1"/>
    </xf>
    <xf numFmtId="186" fontId="79" fillId="40" borderId="111" xfId="0" applyNumberFormat="1" applyFont="1" applyFill="1" applyBorder="1" applyAlignment="1" applyProtection="1">
      <alignment horizontal="center" vertical="center" readingOrder="1"/>
    </xf>
    <xf numFmtId="4" fontId="79" fillId="40" borderId="111" xfId="0" applyNumberFormat="1" applyFont="1" applyFill="1" applyBorder="1" applyAlignment="1" applyProtection="1">
      <alignment horizontal="right" vertical="center" readingOrder="1"/>
    </xf>
    <xf numFmtId="4" fontId="78" fillId="40" borderId="117" xfId="0" applyNumberFormat="1" applyFont="1" applyFill="1" applyBorder="1" applyAlignment="1" applyProtection="1">
      <alignment horizontal="right" vertical="center" readingOrder="1"/>
    </xf>
    <xf numFmtId="0" fontId="79" fillId="40" borderId="90" xfId="0" applyNumberFormat="1" applyFont="1" applyFill="1" applyBorder="1" applyAlignment="1" applyProtection="1">
      <alignment horizontal="left" vertical="center" wrapText="1" readingOrder="1"/>
    </xf>
    <xf numFmtId="0" fontId="79" fillId="40" borderId="90" xfId="0" applyNumberFormat="1" applyFont="1" applyFill="1" applyBorder="1" applyAlignment="1" applyProtection="1">
      <alignment horizontal="center" vertical="center" readingOrder="1"/>
    </xf>
    <xf numFmtId="186" fontId="79" fillId="40" borderId="90" xfId="0" applyNumberFormat="1" applyFont="1" applyFill="1" applyBorder="1" applyAlignment="1" applyProtection="1">
      <alignment horizontal="center" vertical="center" readingOrder="1"/>
    </xf>
    <xf numFmtId="4" fontId="79" fillId="40" borderId="90" xfId="0" applyNumberFormat="1" applyFont="1" applyFill="1" applyBorder="1" applyAlignment="1" applyProtection="1">
      <alignment horizontal="right" vertical="center" readingOrder="1"/>
    </xf>
    <xf numFmtId="0" fontId="80" fillId="40" borderId="96" xfId="0" applyNumberFormat="1" applyFont="1" applyFill="1" applyBorder="1" applyAlignment="1" applyProtection="1">
      <alignment horizontal="left" vertical="top" readingOrder="1"/>
    </xf>
    <xf numFmtId="0" fontId="77" fillId="40" borderId="97" xfId="0" applyNumberFormat="1" applyFont="1" applyFill="1" applyBorder="1" applyAlignment="1" applyProtection="1">
      <alignment horizontal="right" vertical="center" readingOrder="1"/>
    </xf>
    <xf numFmtId="4" fontId="78" fillId="40" borderId="98" xfId="0" applyNumberFormat="1" applyFont="1" applyFill="1" applyBorder="1" applyAlignment="1" applyProtection="1">
      <alignment horizontal="right" vertical="center" readingOrder="1"/>
    </xf>
    <xf numFmtId="0" fontId="80" fillId="40" borderId="110" xfId="0" applyNumberFormat="1" applyFont="1" applyFill="1" applyBorder="1" applyAlignment="1" applyProtection="1">
      <alignment horizontal="left" vertical="top" readingOrder="1"/>
    </xf>
    <xf numFmtId="4" fontId="77" fillId="40" borderId="0" xfId="0" applyNumberFormat="1" applyFont="1" applyFill="1" applyBorder="1" applyAlignment="1" applyProtection="1">
      <alignment horizontal="center" vertical="center" readingOrder="1"/>
    </xf>
    <xf numFmtId="0" fontId="77" fillId="40" borderId="87" xfId="0" applyNumberFormat="1" applyFont="1" applyFill="1" applyBorder="1" applyAlignment="1" applyProtection="1">
      <alignment horizontal="center" vertical="center" readingOrder="1"/>
    </xf>
    <xf numFmtId="0" fontId="77" fillId="40" borderId="87" xfId="0" applyNumberFormat="1" applyFont="1" applyFill="1" applyBorder="1" applyAlignment="1" applyProtection="1">
      <alignment horizontal="center" vertical="center" wrapText="1" readingOrder="1"/>
    </xf>
    <xf numFmtId="0" fontId="79" fillId="40" borderId="110" xfId="0" applyNumberFormat="1" applyFont="1" applyFill="1" applyBorder="1" applyAlignment="1" applyProtection="1">
      <alignment horizontal="left" vertical="center" wrapText="1" readingOrder="1"/>
    </xf>
    <xf numFmtId="186" fontId="79" fillId="40" borderId="110" xfId="0" applyNumberFormat="1" applyFont="1" applyFill="1" applyBorder="1" applyAlignment="1" applyProtection="1">
      <alignment horizontal="center" vertical="center" readingOrder="1"/>
    </xf>
    <xf numFmtId="4" fontId="79" fillId="40" borderId="110" xfId="0" applyNumberFormat="1" applyFont="1" applyFill="1" applyBorder="1" applyAlignment="1" applyProtection="1">
      <alignment horizontal="right" vertical="center" readingOrder="1"/>
    </xf>
    <xf numFmtId="0" fontId="73" fillId="40" borderId="97" xfId="0" applyNumberFormat="1" applyFont="1" applyFill="1" applyBorder="1" applyAlignment="1" applyProtection="1">
      <alignment horizontal="right" vertical="center" readingOrder="1"/>
    </xf>
    <xf numFmtId="0" fontId="73" fillId="40" borderId="97" xfId="0" applyNumberFormat="1" applyFont="1" applyFill="1" applyBorder="1" applyAlignment="1" applyProtection="1">
      <alignment horizontal="right" vertical="center" wrapText="1" readingOrder="1"/>
    </xf>
    <xf numFmtId="4" fontId="78" fillId="40" borderId="103" xfId="0" applyNumberFormat="1" applyFont="1" applyFill="1" applyBorder="1" applyAlignment="1" applyProtection="1">
      <alignment horizontal="right" vertical="center" readingOrder="1"/>
    </xf>
    <xf numFmtId="4" fontId="78" fillId="40" borderId="104" xfId="0" applyNumberFormat="1" applyFont="1" applyFill="1" applyBorder="1" applyAlignment="1" applyProtection="1">
      <alignment horizontal="right" vertical="center" readingOrder="1"/>
    </xf>
    <xf numFmtId="4" fontId="78" fillId="40" borderId="105" xfId="0" applyNumberFormat="1" applyFont="1" applyFill="1" applyBorder="1" applyAlignment="1" applyProtection="1">
      <alignment horizontal="right" vertical="center" readingOrder="1"/>
    </xf>
    <xf numFmtId="0" fontId="73" fillId="40" borderId="97" xfId="0" applyNumberFormat="1" applyFont="1" applyFill="1" applyBorder="1" applyAlignment="1" applyProtection="1">
      <alignment horizontal="left" vertical="center" readingOrder="1"/>
    </xf>
    <xf numFmtId="0" fontId="73" fillId="40" borderId="97" xfId="0" applyNumberFormat="1" applyFont="1" applyFill="1" applyBorder="1" applyAlignment="1" applyProtection="1">
      <alignment horizontal="left" vertical="center" wrapText="1" readingOrder="1"/>
    </xf>
    <xf numFmtId="0" fontId="74" fillId="40" borderId="113" xfId="0" applyNumberFormat="1" applyFont="1" applyFill="1" applyBorder="1" applyAlignment="1" applyProtection="1">
      <alignment horizontal="right" vertical="center" readingOrder="1"/>
    </xf>
    <xf numFmtId="0" fontId="74" fillId="40" borderId="113" xfId="0" applyNumberFormat="1" applyFont="1" applyFill="1" applyBorder="1" applyAlignment="1" applyProtection="1">
      <alignment horizontal="left" vertical="center" readingOrder="1"/>
    </xf>
    <xf numFmtId="0" fontId="74" fillId="40" borderId="104" xfId="0" applyNumberFormat="1" applyFont="1" applyFill="1" applyBorder="1" applyAlignment="1" applyProtection="1">
      <alignment horizontal="right" vertical="center" readingOrder="1"/>
    </xf>
    <xf numFmtId="169" fontId="74" fillId="40" borderId="104" xfId="0" applyNumberFormat="1" applyFont="1" applyFill="1" applyBorder="1" applyAlignment="1" applyProtection="1">
      <alignment horizontal="left" vertical="center" readingOrder="1"/>
    </xf>
    <xf numFmtId="0" fontId="79" fillId="40" borderId="110" xfId="0" applyNumberFormat="1" applyFont="1" applyFill="1" applyBorder="1" applyAlignment="1" applyProtection="1">
      <alignment horizontal="center" vertical="center" readingOrder="1"/>
    </xf>
    <xf numFmtId="4" fontId="78" fillId="40" borderId="110" xfId="0" applyNumberFormat="1" applyFont="1" applyFill="1" applyBorder="1" applyAlignment="1" applyProtection="1">
      <alignment horizontal="right" vertical="center" readingOrder="1"/>
    </xf>
    <xf numFmtId="0" fontId="79" fillId="40" borderId="87" xfId="0" applyNumberFormat="1" applyFont="1" applyFill="1" applyBorder="1" applyAlignment="1" applyProtection="1">
      <alignment horizontal="left" vertical="center" wrapText="1" readingOrder="1"/>
    </xf>
    <xf numFmtId="0" fontId="79" fillId="40" borderId="87" xfId="0" applyNumberFormat="1" applyFont="1" applyFill="1" applyBorder="1" applyAlignment="1" applyProtection="1">
      <alignment horizontal="center" vertical="center" readingOrder="1"/>
    </xf>
    <xf numFmtId="186" fontId="79" fillId="40" borderId="87" xfId="0" applyNumberFormat="1" applyFont="1" applyFill="1" applyBorder="1" applyAlignment="1" applyProtection="1">
      <alignment horizontal="center" vertical="center" readingOrder="1"/>
    </xf>
    <xf numFmtId="4" fontId="79" fillId="40" borderId="87" xfId="0" applyNumberFormat="1" applyFont="1" applyFill="1" applyBorder="1" applyAlignment="1" applyProtection="1">
      <alignment horizontal="right" vertical="center" readingOrder="1"/>
    </xf>
    <xf numFmtId="4" fontId="78" fillId="40" borderId="87" xfId="0" applyNumberFormat="1" applyFont="1" applyFill="1" applyBorder="1" applyAlignment="1" applyProtection="1">
      <alignment horizontal="right" vertical="center" readingOrder="1"/>
    </xf>
    <xf numFmtId="0" fontId="73" fillId="40" borderId="113" xfId="0" applyNumberFormat="1" applyFont="1" applyFill="1" applyBorder="1" applyAlignment="1" applyProtection="1">
      <alignment horizontal="left" vertical="center" readingOrder="1"/>
    </xf>
    <xf numFmtId="0" fontId="73" fillId="40" borderId="104" xfId="0" applyNumberFormat="1" applyFont="1" applyFill="1" applyBorder="1" applyAlignment="1" applyProtection="1">
      <alignment horizontal="left" vertical="center" readingOrder="1"/>
    </xf>
    <xf numFmtId="0" fontId="73" fillId="40" borderId="113" xfId="0" applyNumberFormat="1" applyFont="1" applyFill="1" applyBorder="1" applyAlignment="1" applyProtection="1">
      <alignment horizontal="left" vertical="center" wrapText="1" readingOrder="1"/>
    </xf>
    <xf numFmtId="0" fontId="73" fillId="40" borderId="104" xfId="0" applyNumberFormat="1" applyFont="1" applyFill="1" applyBorder="1" applyAlignment="1" applyProtection="1">
      <alignment horizontal="left" vertical="center" wrapText="1" readingOrder="1"/>
    </xf>
    <xf numFmtId="4" fontId="78" fillId="40" borderId="111" xfId="0" applyNumberFormat="1" applyFont="1" applyFill="1" applyBorder="1" applyAlignment="1" applyProtection="1">
      <alignment horizontal="right" vertical="center" readingOrder="1"/>
    </xf>
    <xf numFmtId="0" fontId="72" fillId="40" borderId="117" xfId="0" applyNumberFormat="1" applyFont="1" applyFill="1" applyBorder="1" applyAlignment="1" applyProtection="1">
      <alignment horizontal="left" vertical="top" readingOrder="1"/>
    </xf>
    <xf numFmtId="0" fontId="73" fillId="40" borderId="0" xfId="0" applyNumberFormat="1" applyFont="1" applyFill="1" applyBorder="1" applyAlignment="1" applyProtection="1">
      <alignment horizontal="right" vertical="center" readingOrder="1"/>
    </xf>
    <xf numFmtId="0" fontId="72" fillId="40" borderId="110" xfId="0" applyNumberFormat="1" applyFont="1" applyFill="1" applyBorder="1" applyAlignment="1" applyProtection="1">
      <alignment horizontal="left" vertical="top" readingOrder="1"/>
    </xf>
    <xf numFmtId="4" fontId="73" fillId="40" borderId="0" xfId="0" applyNumberFormat="1" applyFont="1" applyFill="1" applyBorder="1" applyAlignment="1" applyProtection="1">
      <alignment horizontal="center" vertical="center" readingOrder="1"/>
    </xf>
    <xf numFmtId="0" fontId="75" fillId="40" borderId="90" xfId="0" applyNumberFormat="1" applyFont="1" applyFill="1" applyBorder="1" applyAlignment="1" applyProtection="1">
      <alignment horizontal="left" vertical="center" wrapText="1" readingOrder="1"/>
    </xf>
    <xf numFmtId="0" fontId="75" fillId="40" borderId="90" xfId="0" applyNumberFormat="1" applyFont="1" applyFill="1" applyBorder="1" applyAlignment="1" applyProtection="1">
      <alignment horizontal="center" vertical="center" readingOrder="1"/>
    </xf>
    <xf numFmtId="186" fontId="75" fillId="40" borderId="90" xfId="0" applyNumberFormat="1" applyFont="1" applyFill="1" applyBorder="1" applyAlignment="1" applyProtection="1">
      <alignment horizontal="center" vertical="center" readingOrder="1"/>
    </xf>
    <xf numFmtId="4" fontId="79" fillId="40" borderId="103" xfId="0" applyNumberFormat="1" applyFont="1" applyFill="1" applyBorder="1" applyAlignment="1" applyProtection="1">
      <alignment horizontal="right" vertical="center" readingOrder="1"/>
    </xf>
    <xf numFmtId="4" fontId="79" fillId="40" borderId="104" xfId="0" applyNumberFormat="1" applyFont="1" applyFill="1" applyBorder="1" applyAlignment="1" applyProtection="1">
      <alignment horizontal="right" vertical="center" readingOrder="1"/>
    </xf>
    <xf numFmtId="4" fontId="79" fillId="40" borderId="105" xfId="0" applyNumberFormat="1" applyFont="1" applyFill="1" applyBorder="1" applyAlignment="1" applyProtection="1">
      <alignment horizontal="right" vertical="center" readingOrder="1"/>
    </xf>
    <xf numFmtId="4" fontId="74" fillId="40" borderId="103" xfId="0" applyNumberFormat="1" applyFont="1" applyFill="1" applyBorder="1" applyAlignment="1" applyProtection="1">
      <alignment horizontal="right" vertical="center" readingOrder="1"/>
    </xf>
    <xf numFmtId="4" fontId="74" fillId="40" borderId="104" xfId="0" applyNumberFormat="1" applyFont="1" applyFill="1" applyBorder="1" applyAlignment="1" applyProtection="1">
      <alignment horizontal="right" vertical="center" readingOrder="1"/>
    </xf>
    <xf numFmtId="4" fontId="74" fillId="40" borderId="105" xfId="0" applyNumberFormat="1" applyFont="1" applyFill="1" applyBorder="1" applyAlignment="1" applyProtection="1">
      <alignment horizontal="right" vertical="center" readingOrder="1"/>
    </xf>
    <xf numFmtId="0" fontId="72" fillId="40" borderId="96" xfId="0" applyNumberFormat="1" applyFont="1" applyFill="1" applyBorder="1" applyAlignment="1" applyProtection="1">
      <alignment horizontal="left" vertical="top" readingOrder="1"/>
    </xf>
    <xf numFmtId="4" fontId="74" fillId="40" borderId="98" xfId="0" applyNumberFormat="1" applyFont="1" applyFill="1" applyBorder="1" applyAlignment="1" applyProtection="1">
      <alignment horizontal="right" vertical="center" readingOrder="1"/>
    </xf>
    <xf numFmtId="0" fontId="75" fillId="40" borderId="111" xfId="0" applyNumberFormat="1" applyFont="1" applyFill="1" applyBorder="1" applyAlignment="1" applyProtection="1">
      <alignment horizontal="left" vertical="center" wrapText="1" readingOrder="1"/>
    </xf>
    <xf numFmtId="0" fontId="75" fillId="40" borderId="111" xfId="0" applyNumberFormat="1" applyFont="1" applyFill="1" applyBorder="1" applyAlignment="1" applyProtection="1">
      <alignment horizontal="center" vertical="center" readingOrder="1"/>
    </xf>
    <xf numFmtId="186" fontId="75" fillId="40" borderId="111" xfId="0" applyNumberFormat="1" applyFont="1" applyFill="1" applyBorder="1" applyAlignment="1" applyProtection="1">
      <alignment horizontal="center" vertical="center" readingOrder="1"/>
    </xf>
    <xf numFmtId="4" fontId="79" fillId="40" borderId="117" xfId="0" applyNumberFormat="1" applyFont="1" applyFill="1" applyBorder="1" applyAlignment="1" applyProtection="1">
      <alignment horizontal="right" vertical="center" readingOrder="1"/>
    </xf>
    <xf numFmtId="4" fontId="79" fillId="40" borderId="0" xfId="0" applyNumberFormat="1" applyFont="1" applyFill="1" applyBorder="1" applyAlignment="1" applyProtection="1">
      <alignment horizontal="right" vertical="center" readingOrder="1"/>
    </xf>
    <xf numFmtId="4" fontId="79" fillId="40" borderId="115" xfId="0" applyNumberFormat="1" applyFont="1" applyFill="1" applyBorder="1" applyAlignment="1" applyProtection="1">
      <alignment horizontal="right" vertical="center" readingOrder="1"/>
    </xf>
    <xf numFmtId="4" fontId="74" fillId="40" borderId="117" xfId="0" applyNumberFormat="1" applyFont="1" applyFill="1" applyBorder="1" applyAlignment="1" applyProtection="1">
      <alignment horizontal="right" vertical="center" readingOrder="1"/>
    </xf>
    <xf numFmtId="4" fontId="74" fillId="40" borderId="0" xfId="0" applyNumberFormat="1" applyFont="1" applyFill="1" applyBorder="1" applyAlignment="1" applyProtection="1">
      <alignment horizontal="right" vertical="center" readingOrder="1"/>
    </xf>
    <xf numFmtId="4" fontId="74" fillId="40" borderId="115" xfId="0" applyNumberFormat="1" applyFont="1" applyFill="1" applyBorder="1" applyAlignment="1" applyProtection="1">
      <alignment horizontal="right" vertical="center" readingOrder="1"/>
    </xf>
    <xf numFmtId="0" fontId="75" fillId="40" borderId="110" xfId="0" applyNumberFormat="1" applyFont="1" applyFill="1" applyBorder="1" applyAlignment="1" applyProtection="1">
      <alignment horizontal="left" vertical="center" wrapText="1" readingOrder="1"/>
    </xf>
    <xf numFmtId="0" fontId="75" fillId="40" borderId="110" xfId="0" applyNumberFormat="1" applyFont="1" applyFill="1" applyBorder="1" applyAlignment="1" applyProtection="1">
      <alignment horizontal="center" vertical="center" readingOrder="1"/>
    </xf>
    <xf numFmtId="186" fontId="75" fillId="40" borderId="110" xfId="0" applyNumberFormat="1" applyFont="1" applyFill="1" applyBorder="1" applyAlignment="1" applyProtection="1">
      <alignment horizontal="center" vertical="center" readingOrder="1"/>
    </xf>
    <xf numFmtId="4" fontId="79" fillId="40" borderId="116" xfId="0" applyNumberFormat="1" applyFont="1" applyFill="1" applyBorder="1" applyAlignment="1" applyProtection="1">
      <alignment horizontal="right" vertical="center" readingOrder="1"/>
    </xf>
    <xf numFmtId="4" fontId="79" fillId="40" borderId="113" xfId="0" applyNumberFormat="1" applyFont="1" applyFill="1" applyBorder="1" applyAlignment="1" applyProtection="1">
      <alignment horizontal="right" vertical="center" readingOrder="1"/>
    </xf>
    <xf numFmtId="4" fontId="79" fillId="40" borderId="114" xfId="0" applyNumberFormat="1" applyFont="1" applyFill="1" applyBorder="1" applyAlignment="1" applyProtection="1">
      <alignment horizontal="right" vertical="center" readingOrder="1"/>
    </xf>
    <xf numFmtId="4" fontId="74" fillId="40" borderId="110" xfId="0" applyNumberFormat="1" applyFont="1" applyFill="1" applyBorder="1" applyAlignment="1" applyProtection="1">
      <alignment horizontal="right" vertical="center" readingOrder="1"/>
    </xf>
    <xf numFmtId="0" fontId="73" fillId="40" borderId="87" xfId="0" applyNumberFormat="1" applyFont="1" applyFill="1" applyBorder="1" applyAlignment="1" applyProtection="1">
      <alignment horizontal="center" vertical="center" readingOrder="1"/>
    </xf>
    <xf numFmtId="0" fontId="73" fillId="40" borderId="87" xfId="0" applyNumberFormat="1" applyFont="1" applyFill="1" applyBorder="1" applyAlignment="1" applyProtection="1">
      <alignment horizontal="center" vertical="center" wrapText="1" readingOrder="1"/>
    </xf>
    <xf numFmtId="4" fontId="79" fillId="40" borderId="87" xfId="0" applyNumberFormat="1" applyFont="1" applyFill="1" applyBorder="1" applyAlignment="1" applyProtection="1">
      <alignment horizontal="center" vertical="center" readingOrder="1"/>
    </xf>
    <xf numFmtId="0" fontId="80" fillId="40" borderId="0" xfId="0" applyNumberFormat="1" applyFont="1" applyFill="1" applyBorder="1" applyAlignment="1" applyProtection="1">
      <alignment horizontal="left" vertical="top" readingOrder="1"/>
    </xf>
    <xf numFmtId="0" fontId="80" fillId="40" borderId="116" xfId="0" applyNumberFormat="1" applyFont="1" applyFill="1" applyBorder="1" applyAlignment="1" applyProtection="1">
      <alignment horizontal="left" vertical="top" readingOrder="1"/>
    </xf>
    <xf numFmtId="0" fontId="80" fillId="40" borderId="113" xfId="0" applyNumberFormat="1" applyFont="1" applyFill="1" applyBorder="1" applyAlignment="1" applyProtection="1">
      <alignment horizontal="left" vertical="top" readingOrder="1"/>
    </xf>
    <xf numFmtId="0" fontId="80" fillId="40" borderId="114" xfId="0" applyNumberFormat="1" applyFont="1" applyFill="1" applyBorder="1" applyAlignment="1" applyProtection="1">
      <alignment horizontal="left" vertical="top" readingOrder="1"/>
    </xf>
    <xf numFmtId="0" fontId="79" fillId="40" borderId="103" xfId="0" applyNumberFormat="1" applyFont="1" applyFill="1" applyBorder="1" applyAlignment="1" applyProtection="1">
      <alignment horizontal="left" vertical="center" wrapText="1" readingOrder="1"/>
    </xf>
    <xf numFmtId="0" fontId="79" fillId="40" borderId="104" xfId="0" applyNumberFormat="1" applyFont="1" applyFill="1" applyBorder="1" applyAlignment="1" applyProtection="1">
      <alignment horizontal="left" vertical="center" wrapText="1" readingOrder="1"/>
    </xf>
    <xf numFmtId="0" fontId="79" fillId="40" borderId="105" xfId="0" applyNumberFormat="1" applyFont="1" applyFill="1" applyBorder="1" applyAlignment="1" applyProtection="1">
      <alignment horizontal="left" vertical="center" wrapText="1" readingOrder="1"/>
    </xf>
    <xf numFmtId="0" fontId="79" fillId="40" borderId="103" xfId="0" applyNumberFormat="1" applyFont="1" applyFill="1" applyBorder="1" applyAlignment="1" applyProtection="1">
      <alignment horizontal="center" vertical="center" readingOrder="1"/>
    </xf>
    <xf numFmtId="0" fontId="79" fillId="40" borderId="105" xfId="0" applyNumberFormat="1" applyFont="1" applyFill="1" applyBorder="1" applyAlignment="1" applyProtection="1">
      <alignment horizontal="center" vertical="center" readingOrder="1"/>
    </xf>
    <xf numFmtId="186" fontId="79" fillId="40" borderId="103" xfId="0" applyNumberFormat="1" applyFont="1" applyFill="1" applyBorder="1" applyAlignment="1" applyProtection="1">
      <alignment horizontal="center" vertical="center" readingOrder="1"/>
    </xf>
    <xf numFmtId="186" fontId="79" fillId="40" borderId="104" xfId="0" applyNumberFormat="1" applyFont="1" applyFill="1" applyBorder="1" applyAlignment="1" applyProtection="1">
      <alignment horizontal="center" vertical="center" readingOrder="1"/>
    </xf>
    <xf numFmtId="186" fontId="79" fillId="40" borderId="105" xfId="0" applyNumberFormat="1" applyFont="1" applyFill="1" applyBorder="1" applyAlignment="1" applyProtection="1">
      <alignment horizontal="center" vertical="center" readingOrder="1"/>
    </xf>
    <xf numFmtId="0" fontId="80" fillId="40" borderId="97" xfId="0" applyNumberFormat="1" applyFont="1" applyFill="1" applyBorder="1" applyAlignment="1" applyProtection="1">
      <alignment horizontal="left" vertical="top" readingOrder="1"/>
    </xf>
    <xf numFmtId="4" fontId="78" fillId="40" borderId="97" xfId="0" applyNumberFormat="1" applyFont="1" applyFill="1" applyBorder="1" applyAlignment="1" applyProtection="1">
      <alignment horizontal="right" vertical="center" readingOrder="1"/>
    </xf>
    <xf numFmtId="0" fontId="79" fillId="40" borderId="117" xfId="0" applyNumberFormat="1" applyFont="1" applyFill="1" applyBorder="1" applyAlignment="1" applyProtection="1">
      <alignment horizontal="left" vertical="center" wrapText="1" readingOrder="1"/>
    </xf>
    <xf numFmtId="0" fontId="79" fillId="40" borderId="0" xfId="0" applyNumberFormat="1" applyFont="1" applyFill="1" applyBorder="1" applyAlignment="1" applyProtection="1">
      <alignment horizontal="left" vertical="center" wrapText="1" readingOrder="1"/>
    </xf>
    <xf numFmtId="0" fontId="79" fillId="40" borderId="115" xfId="0" applyNumberFormat="1" applyFont="1" applyFill="1" applyBorder="1" applyAlignment="1" applyProtection="1">
      <alignment horizontal="left" vertical="center" wrapText="1" readingOrder="1"/>
    </xf>
    <xf numFmtId="0" fontId="79" fillId="40" borderId="117" xfId="0" applyNumberFormat="1" applyFont="1" applyFill="1" applyBorder="1" applyAlignment="1" applyProtection="1">
      <alignment horizontal="center" vertical="center" readingOrder="1"/>
    </xf>
    <xf numFmtId="0" fontId="79" fillId="40" borderId="115" xfId="0" applyNumberFormat="1" applyFont="1" applyFill="1" applyBorder="1" applyAlignment="1" applyProtection="1">
      <alignment horizontal="center" vertical="center" readingOrder="1"/>
    </xf>
    <xf numFmtId="186" fontId="79" fillId="40" borderId="117" xfId="0" applyNumberFormat="1" applyFont="1" applyFill="1" applyBorder="1" applyAlignment="1" applyProtection="1">
      <alignment horizontal="center" vertical="center" readingOrder="1"/>
    </xf>
    <xf numFmtId="186" fontId="79" fillId="40" borderId="0" xfId="0" applyNumberFormat="1" applyFont="1" applyFill="1" applyBorder="1" applyAlignment="1" applyProtection="1">
      <alignment horizontal="center" vertical="center" readingOrder="1"/>
    </xf>
    <xf numFmtId="186" fontId="79" fillId="40" borderId="115" xfId="0" applyNumberFormat="1" applyFont="1" applyFill="1" applyBorder="1" applyAlignment="1" applyProtection="1">
      <alignment horizontal="center" vertical="center" readingOrder="1"/>
    </xf>
    <xf numFmtId="0" fontId="79" fillId="40" borderId="116" xfId="0" applyNumberFormat="1" applyFont="1" applyFill="1" applyBorder="1" applyAlignment="1" applyProtection="1">
      <alignment horizontal="left" vertical="center" wrapText="1" readingOrder="1"/>
    </xf>
    <xf numFmtId="0" fontId="79" fillId="40" borderId="113" xfId="0" applyNumberFormat="1" applyFont="1" applyFill="1" applyBorder="1" applyAlignment="1" applyProtection="1">
      <alignment horizontal="left" vertical="center" wrapText="1" readingOrder="1"/>
    </xf>
    <xf numFmtId="0" fontId="79" fillId="40" borderId="114" xfId="0" applyNumberFormat="1" applyFont="1" applyFill="1" applyBorder="1" applyAlignment="1" applyProtection="1">
      <alignment horizontal="left" vertical="center" wrapText="1" readingOrder="1"/>
    </xf>
    <xf numFmtId="0" fontId="79" fillId="40" borderId="116" xfId="0" applyNumberFormat="1" applyFont="1" applyFill="1" applyBorder="1" applyAlignment="1" applyProtection="1">
      <alignment horizontal="center" vertical="center" readingOrder="1"/>
    </xf>
    <xf numFmtId="0" fontId="79" fillId="40" borderId="114" xfId="0" applyNumberFormat="1" applyFont="1" applyFill="1" applyBorder="1" applyAlignment="1" applyProtection="1">
      <alignment horizontal="center" vertical="center" readingOrder="1"/>
    </xf>
    <xf numFmtId="186" fontId="79" fillId="40" borderId="116" xfId="0" applyNumberFormat="1" applyFont="1" applyFill="1" applyBorder="1" applyAlignment="1" applyProtection="1">
      <alignment horizontal="center" vertical="center" readingOrder="1"/>
    </xf>
    <xf numFmtId="186" fontId="79" fillId="40" borderId="113" xfId="0" applyNumberFormat="1" applyFont="1" applyFill="1" applyBorder="1" applyAlignment="1" applyProtection="1">
      <alignment horizontal="center" vertical="center" readingOrder="1"/>
    </xf>
    <xf numFmtId="186" fontId="79" fillId="40" borderId="114" xfId="0" applyNumberFormat="1" applyFont="1" applyFill="1" applyBorder="1" applyAlignment="1" applyProtection="1">
      <alignment horizontal="center" vertical="center" readingOrder="1"/>
    </xf>
    <xf numFmtId="4" fontId="78" fillId="40" borderId="116" xfId="0" applyNumberFormat="1" applyFont="1" applyFill="1" applyBorder="1" applyAlignment="1" applyProtection="1">
      <alignment horizontal="right" vertical="center" readingOrder="1"/>
    </xf>
    <xf numFmtId="4" fontId="78" fillId="40" borderId="113" xfId="0" applyNumberFormat="1" applyFont="1" applyFill="1" applyBorder="1" applyAlignment="1" applyProtection="1">
      <alignment horizontal="right" vertical="center" readingOrder="1"/>
    </xf>
    <xf numFmtId="4" fontId="78" fillId="40" borderId="114" xfId="0" applyNumberFormat="1" applyFont="1" applyFill="1" applyBorder="1" applyAlignment="1" applyProtection="1">
      <alignment horizontal="right" vertical="center" readingOrder="1"/>
    </xf>
    <xf numFmtId="0" fontId="78" fillId="40" borderId="97" xfId="0" applyNumberFormat="1" applyFont="1" applyFill="1" applyBorder="1" applyAlignment="1" applyProtection="1">
      <alignment horizontal="right" vertical="center" readingOrder="1"/>
    </xf>
    <xf numFmtId="0" fontId="84" fillId="39" borderId="41" xfId="0" applyFont="1" applyFill="1" applyBorder="1" applyAlignment="1">
      <alignment horizontal="center" vertical="center" wrapText="1"/>
    </xf>
    <xf numFmtId="0" fontId="84" fillId="39" borderId="30" xfId="0" applyFont="1" applyFill="1" applyBorder="1" applyAlignment="1">
      <alignment horizontal="center" vertical="center" wrapText="1"/>
    </xf>
    <xf numFmtId="0" fontId="84" fillId="39" borderId="31" xfId="0" applyFont="1" applyFill="1" applyBorder="1" applyAlignment="1">
      <alignment horizontal="center" vertical="center" wrapText="1"/>
    </xf>
    <xf numFmtId="0" fontId="82" fillId="36" borderId="59" xfId="0" applyFont="1" applyFill="1" applyBorder="1" applyAlignment="1">
      <alignment horizontal="center" vertical="center"/>
    </xf>
    <xf numFmtId="0" fontId="82" fillId="36" borderId="22" xfId="0" applyFont="1" applyFill="1" applyBorder="1" applyAlignment="1">
      <alignment horizontal="center" vertical="center"/>
    </xf>
    <xf numFmtId="0" fontId="82" fillId="33" borderId="22" xfId="0" applyFont="1" applyFill="1" applyBorder="1" applyAlignment="1">
      <alignment horizontal="center"/>
    </xf>
    <xf numFmtId="0" fontId="82" fillId="0" borderId="22" xfId="0" applyFont="1" applyBorder="1" applyAlignment="1">
      <alignment horizontal="center"/>
    </xf>
    <xf numFmtId="0" fontId="82" fillId="0" borderId="22" xfId="0" applyFont="1" applyBorder="1" applyAlignment="1">
      <alignment horizontal="center" vertical="center"/>
    </xf>
    <xf numFmtId="0" fontId="82" fillId="36" borderId="64" xfId="0" applyFont="1" applyFill="1" applyBorder="1" applyAlignment="1">
      <alignment horizontal="center" vertical="center"/>
    </xf>
    <xf numFmtId="0" fontId="82" fillId="36" borderId="79" xfId="0" applyFont="1" applyFill="1" applyBorder="1" applyAlignment="1">
      <alignment horizontal="center" vertical="center"/>
    </xf>
    <xf numFmtId="0" fontId="82" fillId="36" borderId="21" xfId="0" applyFont="1" applyFill="1" applyBorder="1" applyAlignment="1">
      <alignment horizontal="center" vertical="center"/>
    </xf>
    <xf numFmtId="0" fontId="82" fillId="33" borderId="21" xfId="0" applyFont="1" applyFill="1" applyBorder="1" applyAlignment="1">
      <alignment horizontal="center"/>
    </xf>
    <xf numFmtId="0" fontId="82" fillId="0" borderId="21" xfId="0" applyFont="1" applyBorder="1" applyAlignment="1">
      <alignment horizontal="center" vertical="center"/>
    </xf>
    <xf numFmtId="0" fontId="82" fillId="36" borderId="62" xfId="0" applyFont="1" applyFill="1" applyBorder="1" applyAlignment="1">
      <alignment horizontal="center" vertical="center"/>
    </xf>
    <xf numFmtId="0" fontId="83" fillId="39" borderId="82" xfId="0" applyFont="1" applyFill="1" applyBorder="1" applyAlignment="1">
      <alignment horizontal="center" vertical="center"/>
    </xf>
    <xf numFmtId="0" fontId="83" fillId="39" borderId="55" xfId="0" applyFont="1" applyFill="1" applyBorder="1" applyAlignment="1">
      <alignment horizontal="center" vertical="center"/>
    </xf>
    <xf numFmtId="0" fontId="83" fillId="39" borderId="83" xfId="0" applyFont="1" applyFill="1" applyBorder="1" applyAlignment="1">
      <alignment horizontal="center" vertical="center"/>
    </xf>
    <xf numFmtId="0" fontId="83" fillId="36" borderId="78" xfId="0" applyFont="1" applyFill="1" applyBorder="1" applyAlignment="1">
      <alignment horizontal="center" vertical="center"/>
    </xf>
    <xf numFmtId="0" fontId="83" fillId="36" borderId="47" xfId="0" applyFont="1" applyFill="1" applyBorder="1" applyAlignment="1">
      <alignment horizontal="center" vertical="center"/>
    </xf>
    <xf numFmtId="0" fontId="83" fillId="36" borderId="67" xfId="0" applyFont="1" applyFill="1" applyBorder="1" applyAlignment="1">
      <alignment horizontal="center" vertical="center"/>
    </xf>
    <xf numFmtId="0" fontId="82" fillId="36" borderId="77" xfId="0" applyFont="1" applyFill="1" applyBorder="1" applyAlignment="1">
      <alignment horizontal="center" vertical="center"/>
    </xf>
    <xf numFmtId="0" fontId="82" fillId="36" borderId="26" xfId="0" applyFont="1" applyFill="1" applyBorder="1" applyAlignment="1">
      <alignment horizontal="center" vertical="center"/>
    </xf>
    <xf numFmtId="0" fontId="82" fillId="36" borderId="6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82" fontId="89" fillId="36" borderId="37" xfId="0" applyNumberFormat="1" applyFont="1" applyFill="1" applyBorder="1" applyAlignment="1">
      <alignment horizontal="center" vertical="center"/>
    </xf>
    <xf numFmtId="10" fontId="54" fillId="36" borderId="0" xfId="1089" applyNumberFormat="1" applyFont="1" applyFill="1" applyBorder="1" applyAlignment="1">
      <alignment vertical="center"/>
    </xf>
  </cellXfs>
  <cellStyles count="1090">
    <cellStyle name=" 1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2 2" xfId="9"/>
    <cellStyle name="20% - Ênfase1 2 3" xfId="10"/>
    <cellStyle name="20% - Ênfase1 2 4" xfId="11"/>
    <cellStyle name="20% - Ênfase1 2_Compo" xfId="12"/>
    <cellStyle name="20% - Ênfase1 3" xfId="13"/>
    <cellStyle name="20% - Ênfase1 4" xfId="14"/>
    <cellStyle name="20% - Ênfase1 5" xfId="15"/>
    <cellStyle name="20% - Ênfase2 2" xfId="16"/>
    <cellStyle name="20% - Ênfase2 2 2" xfId="17"/>
    <cellStyle name="20% - Ênfase2 2 3" xfId="18"/>
    <cellStyle name="20% - Ênfase2 2 4" xfId="19"/>
    <cellStyle name="20% - Ênfase2 2_Compo" xfId="20"/>
    <cellStyle name="20% - Ênfase2 3" xfId="21"/>
    <cellStyle name="20% - Ênfase2 4" xfId="22"/>
    <cellStyle name="20% - Ênfase2 5" xfId="23"/>
    <cellStyle name="20% - Ênfase3 2" xfId="24"/>
    <cellStyle name="20% - Ênfase3 2 2" xfId="25"/>
    <cellStyle name="20% - Ênfase3 2 3" xfId="26"/>
    <cellStyle name="20% - Ênfase3 2 4" xfId="27"/>
    <cellStyle name="20% - Ênfase3 2_Compo" xfId="28"/>
    <cellStyle name="20% - Ênfase3 3" xfId="29"/>
    <cellStyle name="20% - Ênfase3 4" xfId="30"/>
    <cellStyle name="20% - Ênfase3 5" xfId="31"/>
    <cellStyle name="20% - Ênfase4 2" xfId="32"/>
    <cellStyle name="20% - Ênfase4 2 2" xfId="33"/>
    <cellStyle name="20% - Ênfase4 2 3" xfId="34"/>
    <cellStyle name="20% - Ênfase4 2 4" xfId="35"/>
    <cellStyle name="20% - Ênfase4 2_Compo" xfId="36"/>
    <cellStyle name="20% - Ênfase4 3" xfId="37"/>
    <cellStyle name="20% - Ênfase4 4" xfId="38"/>
    <cellStyle name="20% - Ênfase4 5" xfId="39"/>
    <cellStyle name="20% - Ênfase5 2" xfId="40"/>
    <cellStyle name="20% - Ênfase5 2 2" xfId="41"/>
    <cellStyle name="20% - Ênfase5 2 3" xfId="42"/>
    <cellStyle name="20% - Ênfase5 2 4" xfId="43"/>
    <cellStyle name="20% - Ênfase5 2_Compo" xfId="44"/>
    <cellStyle name="20% - Ênfase5 3" xfId="45"/>
    <cellStyle name="20% - Ênfase5 4" xfId="46"/>
    <cellStyle name="20% - Ênfase5 5" xfId="47"/>
    <cellStyle name="20% - Ênfase6 2" xfId="48"/>
    <cellStyle name="20% - Ênfase6 2 2" xfId="49"/>
    <cellStyle name="20% - Ênfase6 2 3" xfId="50"/>
    <cellStyle name="20% - Ênfase6 2 4" xfId="51"/>
    <cellStyle name="20% - Ênfase6 2_Compo" xfId="52"/>
    <cellStyle name="20% - Ênfase6 3" xfId="53"/>
    <cellStyle name="20% - Ênfase6 4" xfId="54"/>
    <cellStyle name="20% - Ênfase6 5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Ênfase1 2" xfId="62"/>
    <cellStyle name="40% - Ênfase1 2 2" xfId="63"/>
    <cellStyle name="40% - Ênfase1 2 3" xfId="64"/>
    <cellStyle name="40% - Ênfase1 2 4" xfId="65"/>
    <cellStyle name="40% - Ênfase1 2_Compo" xfId="66"/>
    <cellStyle name="40% - Ênfase1 3" xfId="67"/>
    <cellStyle name="40% - Ênfase1 4" xfId="68"/>
    <cellStyle name="40% - Ênfase1 5" xfId="69"/>
    <cellStyle name="40% - Ênfase2 2" xfId="70"/>
    <cellStyle name="40% - Ênfase2 2 2" xfId="71"/>
    <cellStyle name="40% - Ênfase2 2 3" xfId="72"/>
    <cellStyle name="40% - Ênfase2 2 4" xfId="73"/>
    <cellStyle name="40% - Ênfase2 2_Compo" xfId="74"/>
    <cellStyle name="40% - Ênfase2 3" xfId="75"/>
    <cellStyle name="40% - Ênfase2 4" xfId="76"/>
    <cellStyle name="40% - Ênfase2 5" xfId="77"/>
    <cellStyle name="40% - Ênfase3 2" xfId="78"/>
    <cellStyle name="40% - Ênfase3 2 2" xfId="79"/>
    <cellStyle name="40% - Ênfase3 2 3" xfId="80"/>
    <cellStyle name="40% - Ênfase3 2 4" xfId="81"/>
    <cellStyle name="40% - Ênfase3 2_Compo" xfId="82"/>
    <cellStyle name="40% - Ênfase3 3" xfId="83"/>
    <cellStyle name="40% - Ênfase3 4" xfId="84"/>
    <cellStyle name="40% - Ênfase3 5" xfId="85"/>
    <cellStyle name="40% - Ênfase4 2" xfId="86"/>
    <cellStyle name="40% - Ênfase4 2 2" xfId="87"/>
    <cellStyle name="40% - Ênfase4 2 3" xfId="88"/>
    <cellStyle name="40% - Ênfase4 2 4" xfId="89"/>
    <cellStyle name="40% - Ênfase4 2_Compo" xfId="90"/>
    <cellStyle name="40% - Ênfase4 3" xfId="91"/>
    <cellStyle name="40% - Ênfase4 4" xfId="92"/>
    <cellStyle name="40% - Ênfase4 5" xfId="93"/>
    <cellStyle name="40% - Ênfase5 2" xfId="94"/>
    <cellStyle name="40% - Ênfase5 2 2" xfId="95"/>
    <cellStyle name="40% - Ênfase5 2 3" xfId="96"/>
    <cellStyle name="40% - Ênfase5 2 4" xfId="97"/>
    <cellStyle name="40% - Ênfase5 2_Compo" xfId="98"/>
    <cellStyle name="40% - Ênfase5 3" xfId="99"/>
    <cellStyle name="40% - Ênfase5 4" xfId="100"/>
    <cellStyle name="40% - Ênfase5 5" xfId="101"/>
    <cellStyle name="40% - Ênfase6 2" xfId="102"/>
    <cellStyle name="40% - Ênfase6 2 2" xfId="103"/>
    <cellStyle name="40% - Ênfase6 2 3" xfId="104"/>
    <cellStyle name="40% - Ênfase6 2 4" xfId="105"/>
    <cellStyle name="40% - Ênfase6 2_Compo" xfId="106"/>
    <cellStyle name="40% - Ênfase6 3" xfId="107"/>
    <cellStyle name="40% - Ênfase6 4" xfId="108"/>
    <cellStyle name="40% - Ênfase6 5" xfId="109"/>
    <cellStyle name="60% - Accent1" xfId="110"/>
    <cellStyle name="60% - Accent2" xfId="111"/>
    <cellStyle name="60% - Accent3" xfId="112"/>
    <cellStyle name="60% - Accent4" xfId="113"/>
    <cellStyle name="60% - Accent5" xfId="114"/>
    <cellStyle name="60% - Accent6" xfId="115"/>
    <cellStyle name="60% - Ênfase1 2" xfId="116"/>
    <cellStyle name="60% - Ênfase1 2 2" xfId="117"/>
    <cellStyle name="60% - Ênfase1 2 3" xfId="118"/>
    <cellStyle name="60% - Ênfase1 2_ORÇAMENTO - FORUM DE V. GRANDE" xfId="119"/>
    <cellStyle name="60% - Ênfase1 3" xfId="120"/>
    <cellStyle name="60% - Ênfase1 4" xfId="121"/>
    <cellStyle name="60% - Ênfase1 5" xfId="122"/>
    <cellStyle name="60% - Ênfase1 6" xfId="123"/>
    <cellStyle name="60% - Ênfase2 2" xfId="124"/>
    <cellStyle name="60% - Ênfase2 2 2" xfId="125"/>
    <cellStyle name="60% - Ênfase2 2 3" xfId="126"/>
    <cellStyle name="60% - Ênfase2 2_ORÇAMENTO - FORUM DE V. GRANDE" xfId="127"/>
    <cellStyle name="60% - Ênfase2 3" xfId="128"/>
    <cellStyle name="60% - Ênfase2 4" xfId="129"/>
    <cellStyle name="60% - Ênfase2 5" xfId="130"/>
    <cellStyle name="60% - Ênfase2 6" xfId="131"/>
    <cellStyle name="60% - Ênfase3 2" xfId="132"/>
    <cellStyle name="60% - Ênfase3 2 2" xfId="133"/>
    <cellStyle name="60% - Ênfase3 2 3" xfId="134"/>
    <cellStyle name="60% - Ênfase3 2_ORÇAMENTO - FORUM DE V. GRANDE" xfId="135"/>
    <cellStyle name="60% - Ênfase3 3" xfId="136"/>
    <cellStyle name="60% - Ênfase3 4" xfId="137"/>
    <cellStyle name="60% - Ênfase3 5" xfId="138"/>
    <cellStyle name="60% - Ênfase3 6" xfId="139"/>
    <cellStyle name="60% - Ênfase4 2" xfId="140"/>
    <cellStyle name="60% - Ênfase4 2 2" xfId="141"/>
    <cellStyle name="60% - Ênfase4 2 3" xfId="142"/>
    <cellStyle name="60% - Ênfase4 2_ORÇAMENTO - FORUM DE V. GRANDE" xfId="143"/>
    <cellStyle name="60% - Ênfase4 3" xfId="144"/>
    <cellStyle name="60% - Ênfase4 4" xfId="145"/>
    <cellStyle name="60% - Ênfase4 5" xfId="146"/>
    <cellStyle name="60% - Ênfase4 6" xfId="147"/>
    <cellStyle name="60% - Ênfase5 2" xfId="148"/>
    <cellStyle name="60% - Ênfase5 2 2" xfId="149"/>
    <cellStyle name="60% - Ênfase5 2 3" xfId="150"/>
    <cellStyle name="60% - Ênfase5 2_ORÇAMENTO - FORUM DE V. GRANDE" xfId="151"/>
    <cellStyle name="60% - Ênfase5 3" xfId="152"/>
    <cellStyle name="60% - Ênfase5 4" xfId="153"/>
    <cellStyle name="60% - Ênfase5 5" xfId="154"/>
    <cellStyle name="60% - Ênfase5 6" xfId="155"/>
    <cellStyle name="60% - Ênfase6 2" xfId="156"/>
    <cellStyle name="60% - Ênfase6 2 2" xfId="157"/>
    <cellStyle name="60% - Ênfase6 2 3" xfId="158"/>
    <cellStyle name="60% - Ênfase6 2_ORÇAMENTO - FORUM DE V. GRANDE" xfId="159"/>
    <cellStyle name="60% - Ênfase6 3" xfId="160"/>
    <cellStyle name="60% - Ênfase6 4" xfId="161"/>
    <cellStyle name="60% - Ênfase6 5" xfId="162"/>
    <cellStyle name="60% - Ênfase6 6" xfId="163"/>
    <cellStyle name="Accent1" xfId="164"/>
    <cellStyle name="Accent2" xfId="165"/>
    <cellStyle name="Accent3" xfId="166"/>
    <cellStyle name="Accent4" xfId="167"/>
    <cellStyle name="Accent5" xfId="168"/>
    <cellStyle name="Accent6" xfId="169"/>
    <cellStyle name="Bad" xfId="170"/>
    <cellStyle name="Bom 2" xfId="171"/>
    <cellStyle name="Bom 2 2" xfId="172"/>
    <cellStyle name="Bom 2 3" xfId="173"/>
    <cellStyle name="Bom 2_ORÇAMENTO - FORUM DE V. GRANDE" xfId="174"/>
    <cellStyle name="Bom 3" xfId="175"/>
    <cellStyle name="Bom 4" xfId="176"/>
    <cellStyle name="Bom 5" xfId="177"/>
    <cellStyle name="Bom 6" xfId="178"/>
    <cellStyle name="Calculation" xfId="179"/>
    <cellStyle name="Cálculo 2" xfId="180"/>
    <cellStyle name="Cálculo 2 2" xfId="181"/>
    <cellStyle name="Cálculo 2 3" xfId="182"/>
    <cellStyle name="Cálculo 2_CIVIL- BL 1-2-3-4-5-6-7-8 " xfId="183"/>
    <cellStyle name="Cálculo 3" xfId="184"/>
    <cellStyle name="Cálculo 4" xfId="185"/>
    <cellStyle name="Cálculo 5" xfId="186"/>
    <cellStyle name="Cálculo 6" xfId="187"/>
    <cellStyle name="Cancel" xfId="188"/>
    <cellStyle name="Célula de Verificação 2" xfId="189"/>
    <cellStyle name="Célula de Verificação 2 2" xfId="190"/>
    <cellStyle name="Célula de Verificação 2 3" xfId="191"/>
    <cellStyle name="Célula de Verificação 2_CIVIL- BL 1-2-3-4-5-6-7-8 " xfId="192"/>
    <cellStyle name="Célula de Verificação 3" xfId="193"/>
    <cellStyle name="Célula de Verificação 4" xfId="194"/>
    <cellStyle name="Célula de Verificação 5" xfId="195"/>
    <cellStyle name="Célula de Verificação 6" xfId="196"/>
    <cellStyle name="Célula Vinculada 2" xfId="197"/>
    <cellStyle name="Célula Vinculada 2 2" xfId="198"/>
    <cellStyle name="Célula Vinculada 2 3" xfId="199"/>
    <cellStyle name="Célula Vinculada 2_CIVIL- BL 1-2-3-4-5-6-7-8 " xfId="200"/>
    <cellStyle name="Célula Vinculada 3" xfId="201"/>
    <cellStyle name="Célula Vinculada 4" xfId="202"/>
    <cellStyle name="Célula Vinculada 5" xfId="203"/>
    <cellStyle name="Célula Vinculada 6" xfId="204"/>
    <cellStyle name="Check Cell" xfId="205"/>
    <cellStyle name="Comma0" xfId="206"/>
    <cellStyle name="Currency0" xfId="207"/>
    <cellStyle name="Ênfase1 2" xfId="208"/>
    <cellStyle name="Ênfase1 2 2" xfId="209"/>
    <cellStyle name="Ênfase1 2 3" xfId="210"/>
    <cellStyle name="Ênfase1 2_ORÇAMENTO - FORUM DE V. GRANDE" xfId="211"/>
    <cellStyle name="Ênfase1 3" xfId="212"/>
    <cellStyle name="Ênfase1 4" xfId="213"/>
    <cellStyle name="Ênfase1 5" xfId="214"/>
    <cellStyle name="Ênfase1 6" xfId="215"/>
    <cellStyle name="Ênfase2 2" xfId="216"/>
    <cellStyle name="Ênfase2 2 2" xfId="217"/>
    <cellStyle name="Ênfase2 2 3" xfId="218"/>
    <cellStyle name="Ênfase2 2_ORÇAMENTO - FORUM DE V. GRANDE" xfId="219"/>
    <cellStyle name="Ênfase2 3" xfId="220"/>
    <cellStyle name="Ênfase2 4" xfId="221"/>
    <cellStyle name="Ênfase2 5" xfId="222"/>
    <cellStyle name="Ênfase2 6" xfId="223"/>
    <cellStyle name="Ênfase3 2" xfId="224"/>
    <cellStyle name="Ênfase3 2 2" xfId="225"/>
    <cellStyle name="Ênfase3 2 3" xfId="226"/>
    <cellStyle name="Ênfase3 2_ORÇAMENTO - FORUM DE V. GRANDE" xfId="227"/>
    <cellStyle name="Ênfase3 3" xfId="228"/>
    <cellStyle name="Ênfase3 4" xfId="229"/>
    <cellStyle name="Ênfase3 5" xfId="230"/>
    <cellStyle name="Ênfase3 6" xfId="231"/>
    <cellStyle name="Ênfase4 2" xfId="232"/>
    <cellStyle name="Ênfase4 2 2" xfId="233"/>
    <cellStyle name="Ênfase4 2 3" xfId="234"/>
    <cellStyle name="Ênfase4 2_ORÇAMENTO - FORUM DE V. GRANDE" xfId="235"/>
    <cellStyle name="Ênfase4 3" xfId="236"/>
    <cellStyle name="Ênfase4 4" xfId="237"/>
    <cellStyle name="Ênfase4 5" xfId="238"/>
    <cellStyle name="Ênfase4 6" xfId="239"/>
    <cellStyle name="Ênfase5 2" xfId="240"/>
    <cellStyle name="Ênfase5 2 2" xfId="241"/>
    <cellStyle name="Ênfase5 2 3" xfId="242"/>
    <cellStyle name="Ênfase5 2_ORÇAMENTO - FORUM DE V. GRANDE" xfId="243"/>
    <cellStyle name="Ênfase5 3" xfId="244"/>
    <cellStyle name="Ênfase5 4" xfId="245"/>
    <cellStyle name="Ênfase5 5" xfId="246"/>
    <cellStyle name="Ênfase5 6" xfId="247"/>
    <cellStyle name="Ênfase6 2" xfId="248"/>
    <cellStyle name="Ênfase6 2 2" xfId="249"/>
    <cellStyle name="Ênfase6 2 3" xfId="250"/>
    <cellStyle name="Ênfase6 2_ORÇAMENTO - FORUM DE V. GRANDE" xfId="251"/>
    <cellStyle name="Ênfase6 3" xfId="252"/>
    <cellStyle name="Ênfase6 4" xfId="253"/>
    <cellStyle name="Ênfase6 5" xfId="254"/>
    <cellStyle name="Ênfase6 6" xfId="255"/>
    <cellStyle name="Entrada 2" xfId="256"/>
    <cellStyle name="Entrada 2 2" xfId="257"/>
    <cellStyle name="Entrada 2 3" xfId="258"/>
    <cellStyle name="Entrada 2_CIVIL- BL 1-2-3-4-5-6-7-8 " xfId="259"/>
    <cellStyle name="Entrada 3" xfId="260"/>
    <cellStyle name="Entrada 4" xfId="261"/>
    <cellStyle name="Entrada 5" xfId="262"/>
    <cellStyle name="Entrada 6" xfId="263"/>
    <cellStyle name="Estilo 1" xfId="264"/>
    <cellStyle name="Euro" xfId="265"/>
    <cellStyle name="Euro 2" xfId="266"/>
    <cellStyle name="Euro 2 2" xfId="267"/>
    <cellStyle name="Euro 3" xfId="268"/>
    <cellStyle name="Excel Built-in Normal" xfId="269"/>
    <cellStyle name="Excel Built-in Normal 1 1" xfId="270"/>
    <cellStyle name="Excel Built-in Normal 10 3" xfId="271"/>
    <cellStyle name="Excel Built-in Vírgula 6" xfId="272"/>
    <cellStyle name="Explanatory Text" xfId="273"/>
    <cellStyle name="Good" xfId="274"/>
    <cellStyle name="Heading 1" xfId="275"/>
    <cellStyle name="Heading 2" xfId="276"/>
    <cellStyle name="Heading 3" xfId="277"/>
    <cellStyle name="Heading 4" xfId="278"/>
    <cellStyle name="Hiperlink 2" xfId="279"/>
    <cellStyle name="Hyperlink 2" xfId="280"/>
    <cellStyle name="Incorreto 2" xfId="281"/>
    <cellStyle name="Incorreto 2 2" xfId="282"/>
    <cellStyle name="Incorreto 2 3" xfId="283"/>
    <cellStyle name="Incorreto 2_ORÇAMENTO - FORUM DE V. GRANDE" xfId="284"/>
    <cellStyle name="Incorreto 3" xfId="285"/>
    <cellStyle name="Incorreto 4" xfId="286"/>
    <cellStyle name="Incorreto 5" xfId="287"/>
    <cellStyle name="Incorreto 6" xfId="288"/>
    <cellStyle name="Input" xfId="289"/>
    <cellStyle name="Linked Cell" xfId="290"/>
    <cellStyle name="Moeda" xfId="291" builtinId="4"/>
    <cellStyle name="Moeda 10" xfId="292"/>
    <cellStyle name="Moeda 2" xfId="293"/>
    <cellStyle name="Moeda 2 2" xfId="294"/>
    <cellStyle name="Moeda 2 3" xfId="295"/>
    <cellStyle name="Moeda 2_ORÇAMENTO - FORUM DE V. GRANDE" xfId="296"/>
    <cellStyle name="Moeda 24" xfId="297"/>
    <cellStyle name="Moeda 3" xfId="298"/>
    <cellStyle name="Moeda 4" xfId="299"/>
    <cellStyle name="Moeda 5" xfId="300"/>
    <cellStyle name="Moeda 6" xfId="301"/>
    <cellStyle name="Moeda 7" xfId="302"/>
    <cellStyle name="Moeda 8" xfId="303"/>
    <cellStyle name="Moeda 9" xfId="304"/>
    <cellStyle name="Neutra 2" xfId="305"/>
    <cellStyle name="Neutra 2 2" xfId="306"/>
    <cellStyle name="Neutra 2 3" xfId="307"/>
    <cellStyle name="Neutra 2_ORÇAMENTO - FORUM DE V. GRANDE" xfId="308"/>
    <cellStyle name="Neutra 3" xfId="309"/>
    <cellStyle name="Neutra 4" xfId="310"/>
    <cellStyle name="Neutra 5" xfId="311"/>
    <cellStyle name="Neutra 6" xfId="312"/>
    <cellStyle name="Neutral" xfId="313"/>
    <cellStyle name="Normal" xfId="0" builtinId="0"/>
    <cellStyle name="Normal 10" xfId="314"/>
    <cellStyle name="Normal 10 2" xfId="315"/>
    <cellStyle name="Normal 10_Compo-Civil" xfId="316"/>
    <cellStyle name="Normal 11" xfId="317"/>
    <cellStyle name="Normal 11 2" xfId="318"/>
    <cellStyle name="Normal 11_Compo-Civil" xfId="319"/>
    <cellStyle name="Normal 12" xfId="320"/>
    <cellStyle name="Normal 12 2" xfId="321"/>
    <cellStyle name="Normal 12_Compo-Civil" xfId="322"/>
    <cellStyle name="Normal 13" xfId="323"/>
    <cellStyle name="Normal 13 2" xfId="324"/>
    <cellStyle name="Normal 13 2 2" xfId="325"/>
    <cellStyle name="Normal 13 2 3" xfId="326"/>
    <cellStyle name="Normal 13 2_Compo-Civil" xfId="327"/>
    <cellStyle name="Normal 13 3" xfId="328"/>
    <cellStyle name="Normal 13 4" xfId="329"/>
    <cellStyle name="Normal 13_Compo-Civil" xfId="330"/>
    <cellStyle name="Normal 14" xfId="331"/>
    <cellStyle name="Normal 14 2" xfId="332"/>
    <cellStyle name="Normal 14_Compo-Civil" xfId="333"/>
    <cellStyle name="Normal 15" xfId="334"/>
    <cellStyle name="Normal 15 2" xfId="335"/>
    <cellStyle name="Normal 15 2 2" xfId="336"/>
    <cellStyle name="Normal 15 2 3" xfId="337"/>
    <cellStyle name="Normal 15 2_Compo-Civil" xfId="338"/>
    <cellStyle name="Normal 15 3" xfId="339"/>
    <cellStyle name="Normal 15 4" xfId="340"/>
    <cellStyle name="Normal 15_Compo-Civil" xfId="341"/>
    <cellStyle name="Normal 16" xfId="342"/>
    <cellStyle name="Normal 16 2" xfId="343"/>
    <cellStyle name="Normal 16 2 2" xfId="344"/>
    <cellStyle name="Normal 16 2 3" xfId="345"/>
    <cellStyle name="Normal 16 2_Compo-Civil" xfId="346"/>
    <cellStyle name="Normal 16 3" xfId="347"/>
    <cellStyle name="Normal 16 4" xfId="348"/>
    <cellStyle name="Normal 16_Compo-Civil" xfId="349"/>
    <cellStyle name="Normal 17" xfId="350"/>
    <cellStyle name="Normal 17 2" xfId="351"/>
    <cellStyle name="Normal 17_Compo-Civil" xfId="352"/>
    <cellStyle name="Normal 18" xfId="353"/>
    <cellStyle name="Normal 18 2" xfId="354"/>
    <cellStyle name="Normal 18_Compo-Civil" xfId="355"/>
    <cellStyle name="Normal 19" xfId="356"/>
    <cellStyle name="Normal 19 2" xfId="357"/>
    <cellStyle name="Normal 19_Compo-Civil" xfId="358"/>
    <cellStyle name="Normal 2" xfId="359"/>
    <cellStyle name="Normal 2 2" xfId="360"/>
    <cellStyle name="Normal 2 2 2" xfId="361"/>
    <cellStyle name="Normal 2 2 2 2" xfId="362"/>
    <cellStyle name="Normal 2 2 2_ORÇAMENTO - FORUM DE V. GRANDE" xfId="363"/>
    <cellStyle name="Normal 2 2_Compo-Civil" xfId="364"/>
    <cellStyle name="Normal 2 3" xfId="365"/>
    <cellStyle name="Normal 2 4" xfId="366"/>
    <cellStyle name="Normal 2 5" xfId="367"/>
    <cellStyle name="Normal 2 6" xfId="368"/>
    <cellStyle name="Normal 2 7" xfId="369"/>
    <cellStyle name="Normal 2 8" xfId="370"/>
    <cellStyle name="Normal 20" xfId="371"/>
    <cellStyle name="Normal 20 2" xfId="372"/>
    <cellStyle name="Normal 20_Compo-Civil" xfId="373"/>
    <cellStyle name="Normal 21" xfId="374"/>
    <cellStyle name="Normal 21 2" xfId="375"/>
    <cellStyle name="Normal 21 3" xfId="376"/>
    <cellStyle name="Normal 21 4" xfId="377"/>
    <cellStyle name="Normal 21_Compo-Civil" xfId="378"/>
    <cellStyle name="Normal 22" xfId="379"/>
    <cellStyle name="Normal 22 2" xfId="380"/>
    <cellStyle name="Normal 22_Compo-Civil" xfId="381"/>
    <cellStyle name="Normal 23" xfId="382"/>
    <cellStyle name="Normal 23 2" xfId="383"/>
    <cellStyle name="Normal 23_Compo-Civil" xfId="384"/>
    <cellStyle name="Normal 24" xfId="385"/>
    <cellStyle name="Normal 24 2" xfId="386"/>
    <cellStyle name="Normal 24_Compo-Civil" xfId="387"/>
    <cellStyle name="Normal 25" xfId="388"/>
    <cellStyle name="Normal 25 2" xfId="389"/>
    <cellStyle name="Normal 25_Compo-Civil" xfId="390"/>
    <cellStyle name="Normal 26" xfId="391"/>
    <cellStyle name="Normal 26 2" xfId="392"/>
    <cellStyle name="Normal 26_Compo-Civil" xfId="393"/>
    <cellStyle name="Normal 27" xfId="394"/>
    <cellStyle name="Normal 27 2" xfId="395"/>
    <cellStyle name="Normal 27_Compo-Civil" xfId="396"/>
    <cellStyle name="Normal 28" xfId="397"/>
    <cellStyle name="Normal 28 2" xfId="398"/>
    <cellStyle name="Normal 28_Compo-Civil" xfId="399"/>
    <cellStyle name="Normal 29" xfId="400"/>
    <cellStyle name="Normal 3 2" xfId="401"/>
    <cellStyle name="Normal 3 3" xfId="402"/>
    <cellStyle name="Normal 3 4" xfId="403"/>
    <cellStyle name="Normal 30" xfId="404"/>
    <cellStyle name="Normal 31" xfId="405"/>
    <cellStyle name="Normal 32" xfId="406"/>
    <cellStyle name="Normal 33" xfId="407"/>
    <cellStyle name="Normal 34" xfId="408"/>
    <cellStyle name="Normal 35" xfId="409"/>
    <cellStyle name="Normal 36" xfId="410"/>
    <cellStyle name="Normal 37" xfId="411"/>
    <cellStyle name="Normal 38" xfId="412"/>
    <cellStyle name="Normal 39" xfId="413"/>
    <cellStyle name="Normal 4 10" xfId="414"/>
    <cellStyle name="Normal 4 2" xfId="415"/>
    <cellStyle name="Normal 4 2 2" xfId="416"/>
    <cellStyle name="Normal 4 2 3" xfId="417"/>
    <cellStyle name="Normal 4 2_Compo-Civil" xfId="418"/>
    <cellStyle name="Normal 4 3" xfId="419"/>
    <cellStyle name="Normal 4 4" xfId="420"/>
    <cellStyle name="Normal 4 5" xfId="421"/>
    <cellStyle name="Normal 4 6" xfId="422"/>
    <cellStyle name="Normal 4 7" xfId="423"/>
    <cellStyle name="Normal 4 8" xfId="424"/>
    <cellStyle name="Normal 4 9" xfId="425"/>
    <cellStyle name="Normal 4_ORÇAMENTO" xfId="426"/>
    <cellStyle name="Normal 40" xfId="427"/>
    <cellStyle name="Normal 41" xfId="428"/>
    <cellStyle name="Normal 42" xfId="429"/>
    <cellStyle name="Normal 43" xfId="430"/>
    <cellStyle name="Normal 44" xfId="431"/>
    <cellStyle name="Normal 45" xfId="432"/>
    <cellStyle name="Normal 46" xfId="433"/>
    <cellStyle name="Normal 47" xfId="434"/>
    <cellStyle name="Normal 48" xfId="435"/>
    <cellStyle name="Normal 49" xfId="436"/>
    <cellStyle name="Normal 5" xfId="437"/>
    <cellStyle name="Normal 5 2" xfId="438"/>
    <cellStyle name="Normal 5 3" xfId="439"/>
    <cellStyle name="Normal 5 4" xfId="440"/>
    <cellStyle name="Normal 5_Compo-Civil" xfId="441"/>
    <cellStyle name="Normal 50" xfId="442"/>
    <cellStyle name="Normal 51" xfId="443"/>
    <cellStyle name="Normal 52" xfId="444"/>
    <cellStyle name="Normal 53" xfId="445"/>
    <cellStyle name="Normal 54" xfId="446"/>
    <cellStyle name="Normal 55" xfId="447"/>
    <cellStyle name="Normal 56" xfId="448"/>
    <cellStyle name="Normal 57" xfId="449"/>
    <cellStyle name="Normal 58" xfId="450"/>
    <cellStyle name="Normal 59" xfId="451"/>
    <cellStyle name="Normal 6" xfId="452"/>
    <cellStyle name="Normal 6 2" xfId="453"/>
    <cellStyle name="Normal 6_Compo-Civil" xfId="454"/>
    <cellStyle name="Normal 60" xfId="455"/>
    <cellStyle name="Normal 61" xfId="456"/>
    <cellStyle name="Normal 62" xfId="457"/>
    <cellStyle name="Normal 63" xfId="458"/>
    <cellStyle name="Normal 64" xfId="459"/>
    <cellStyle name="Normal 65" xfId="460"/>
    <cellStyle name="Normal 66" xfId="461"/>
    <cellStyle name="Normal 67" xfId="462"/>
    <cellStyle name="Normal 68" xfId="463"/>
    <cellStyle name="Normal 69" xfId="464"/>
    <cellStyle name="Normal 7" xfId="465"/>
    <cellStyle name="Normal 7 2" xfId="466"/>
    <cellStyle name="Normal 7_Compo-Civil" xfId="467"/>
    <cellStyle name="Normal 70" xfId="468"/>
    <cellStyle name="Normal 71" xfId="469"/>
    <cellStyle name="Normal 72" xfId="470"/>
    <cellStyle name="Normal 73" xfId="471"/>
    <cellStyle name="Normal 74" xfId="472"/>
    <cellStyle name="Normal 75" xfId="473"/>
    <cellStyle name="Normal 76" xfId="474"/>
    <cellStyle name="Normal 77" xfId="475"/>
    <cellStyle name="Normal 78" xfId="476"/>
    <cellStyle name="Normal 79" xfId="477"/>
    <cellStyle name="Normal 8" xfId="478"/>
    <cellStyle name="Normal 8 2" xfId="479"/>
    <cellStyle name="Normal 8 3" xfId="480"/>
    <cellStyle name="Normal 8 4" xfId="481"/>
    <cellStyle name="Normal 8_Compo-Civil" xfId="482"/>
    <cellStyle name="Normal 80" xfId="483"/>
    <cellStyle name="Normal 81" xfId="484"/>
    <cellStyle name="Normal 82" xfId="485"/>
    <cellStyle name="Normal 83" xfId="486"/>
    <cellStyle name="Normal 84" xfId="487"/>
    <cellStyle name="Normal 85" xfId="488"/>
    <cellStyle name="Normal 86" xfId="489"/>
    <cellStyle name="Normal 87" xfId="490"/>
    <cellStyle name="Normal 88" xfId="491"/>
    <cellStyle name="Normal 89" xfId="492"/>
    <cellStyle name="Normal 9" xfId="493"/>
    <cellStyle name="Normal 9 2" xfId="494"/>
    <cellStyle name="Normal 9_Compo-Civil" xfId="495"/>
    <cellStyle name="Normal 90" xfId="496"/>
    <cellStyle name="Normal 91" xfId="497"/>
    <cellStyle name="Normal_5ª Medição 199" xfId="498"/>
    <cellStyle name="Normal_TRANSPORTE_QUENTE_E_FRIO 2" xfId="499"/>
    <cellStyle name="Nota 10" xfId="500"/>
    <cellStyle name="Nota 10 2" xfId="501"/>
    <cellStyle name="Nota 11" xfId="502"/>
    <cellStyle name="Nota 11 2" xfId="503"/>
    <cellStyle name="Nota 12" xfId="504"/>
    <cellStyle name="Nota 12 2" xfId="505"/>
    <cellStyle name="Nota 13" xfId="506"/>
    <cellStyle name="Nota 13 2" xfId="507"/>
    <cellStyle name="Nota 14" xfId="508"/>
    <cellStyle name="Nota 14 2" xfId="509"/>
    <cellStyle name="Nota 15" xfId="510"/>
    <cellStyle name="Nota 15 2" xfId="511"/>
    <cellStyle name="Nota 16" xfId="512"/>
    <cellStyle name="Nota 16 2" xfId="513"/>
    <cellStyle name="Nota 17" xfId="514"/>
    <cellStyle name="Nota 17 2" xfId="515"/>
    <cellStyle name="Nota 18" xfId="516"/>
    <cellStyle name="Nota 18 2" xfId="517"/>
    <cellStyle name="Nota 19" xfId="518"/>
    <cellStyle name="Nota 19 2" xfId="519"/>
    <cellStyle name="Nota 2" xfId="520"/>
    <cellStyle name="Nota 2 2" xfId="521"/>
    <cellStyle name="Nota 2 3" xfId="522"/>
    <cellStyle name="Nota 2 4" xfId="523"/>
    <cellStyle name="Nota 2_CIVIL- BL 1-2-3-4-5-6-7-8 " xfId="524"/>
    <cellStyle name="Nota 20" xfId="525"/>
    <cellStyle name="Nota 20 2" xfId="526"/>
    <cellStyle name="Nota 21" xfId="527"/>
    <cellStyle name="Nota 21 2" xfId="528"/>
    <cellStyle name="Nota 22" xfId="529"/>
    <cellStyle name="Nota 22 2" xfId="530"/>
    <cellStyle name="Nota 23" xfId="531"/>
    <cellStyle name="Nota 23 2" xfId="532"/>
    <cellStyle name="Nota 24" xfId="533"/>
    <cellStyle name="Nota 24 2" xfId="534"/>
    <cellStyle name="Nota 25" xfId="535"/>
    <cellStyle name="Nota 25 2" xfId="536"/>
    <cellStyle name="Nota 26" xfId="537"/>
    <cellStyle name="Nota 26 2" xfId="538"/>
    <cellStyle name="Nota 27" xfId="539"/>
    <cellStyle name="Nota 27 2" xfId="540"/>
    <cellStyle name="Nota 28" xfId="541"/>
    <cellStyle name="Nota 28 2" xfId="542"/>
    <cellStyle name="Nota 29" xfId="543"/>
    <cellStyle name="Nota 29 2" xfId="544"/>
    <cellStyle name="Nota 3" xfId="545"/>
    <cellStyle name="Nota 3 2" xfId="546"/>
    <cellStyle name="Nota 30" xfId="547"/>
    <cellStyle name="Nota 30 2" xfId="548"/>
    <cellStyle name="Nota 31" xfId="549"/>
    <cellStyle name="Nota 31 2" xfId="550"/>
    <cellStyle name="Nota 32" xfId="551"/>
    <cellStyle name="Nota 32 2" xfId="552"/>
    <cellStyle name="Nota 33" xfId="553"/>
    <cellStyle name="Nota 33 2" xfId="554"/>
    <cellStyle name="Nota 34" xfId="555"/>
    <cellStyle name="Nota 34 2" xfId="556"/>
    <cellStyle name="Nota 35" xfId="557"/>
    <cellStyle name="Nota 35 2" xfId="558"/>
    <cellStyle name="Nota 36" xfId="559"/>
    <cellStyle name="Nota 36 2" xfId="560"/>
    <cellStyle name="Nota 37" xfId="561"/>
    <cellStyle name="Nota 37 2" xfId="562"/>
    <cellStyle name="Nota 38" xfId="563"/>
    <cellStyle name="Nota 39" xfId="564"/>
    <cellStyle name="Nota 4" xfId="565"/>
    <cellStyle name="Nota 4 2" xfId="566"/>
    <cellStyle name="Nota 5" xfId="567"/>
    <cellStyle name="Nota 5 2" xfId="568"/>
    <cellStyle name="Nota 6" xfId="569"/>
    <cellStyle name="Nota 6 2" xfId="570"/>
    <cellStyle name="Nota 7" xfId="571"/>
    <cellStyle name="Nota 7 2" xfId="572"/>
    <cellStyle name="Nota 8" xfId="573"/>
    <cellStyle name="Nota 8 2" xfId="574"/>
    <cellStyle name="Nota 9" xfId="575"/>
    <cellStyle name="Nota 9 2" xfId="576"/>
    <cellStyle name="Note" xfId="577"/>
    <cellStyle name="Output" xfId="578"/>
    <cellStyle name="planilhas" xfId="579"/>
    <cellStyle name="Porcentagem" xfId="1089" builtinId="5"/>
    <cellStyle name="Porcentagem 10" xfId="580"/>
    <cellStyle name="Porcentagem 10 2" xfId="581"/>
    <cellStyle name="Porcentagem 11" xfId="582"/>
    <cellStyle name="Porcentagem 12" xfId="583"/>
    <cellStyle name="Porcentagem 13" xfId="584"/>
    <cellStyle name="Porcentagem 14" xfId="585"/>
    <cellStyle name="Porcentagem 15" xfId="586"/>
    <cellStyle name="Porcentagem 16" xfId="587"/>
    <cellStyle name="Porcentagem 17" xfId="588"/>
    <cellStyle name="Porcentagem 18" xfId="589"/>
    <cellStyle name="Porcentagem 19" xfId="590"/>
    <cellStyle name="Porcentagem 2" xfId="591"/>
    <cellStyle name="Porcentagem 2 10" xfId="592"/>
    <cellStyle name="Porcentagem 2 11" xfId="593"/>
    <cellStyle name="Porcentagem 2 12" xfId="594"/>
    <cellStyle name="Porcentagem 2 13" xfId="595"/>
    <cellStyle name="Porcentagem 2 14" xfId="596"/>
    <cellStyle name="Porcentagem 2 15" xfId="597"/>
    <cellStyle name="Porcentagem 2 16" xfId="598"/>
    <cellStyle name="Porcentagem 2 17" xfId="599"/>
    <cellStyle name="Porcentagem 2 18" xfId="600"/>
    <cellStyle name="Porcentagem 2 19" xfId="601"/>
    <cellStyle name="Porcentagem 2 2" xfId="602"/>
    <cellStyle name="Porcentagem 2 2 2" xfId="603"/>
    <cellStyle name="Porcentagem 2 2 3" xfId="604"/>
    <cellStyle name="Porcentagem 2 20" xfId="605"/>
    <cellStyle name="Porcentagem 2 21" xfId="606"/>
    <cellStyle name="Porcentagem 2 22" xfId="607"/>
    <cellStyle name="Porcentagem 2 23" xfId="608"/>
    <cellStyle name="Porcentagem 2 24" xfId="609"/>
    <cellStyle name="Porcentagem 2 25" xfId="610"/>
    <cellStyle name="Porcentagem 2 26" xfId="611"/>
    <cellStyle name="Porcentagem 2 27" xfId="612"/>
    <cellStyle name="Porcentagem 2 28" xfId="613"/>
    <cellStyle name="Porcentagem 2 29" xfId="614"/>
    <cellStyle name="Porcentagem 2 3" xfId="615"/>
    <cellStyle name="Porcentagem 2 30" xfId="616"/>
    <cellStyle name="Porcentagem 2 4" xfId="617"/>
    <cellStyle name="Porcentagem 2 5" xfId="618"/>
    <cellStyle name="Porcentagem 2 6" xfId="619"/>
    <cellStyle name="Porcentagem 2 7" xfId="620"/>
    <cellStyle name="Porcentagem 2 8" xfId="621"/>
    <cellStyle name="Porcentagem 2 9" xfId="622"/>
    <cellStyle name="Porcentagem 20" xfId="623"/>
    <cellStyle name="Porcentagem 21" xfId="624"/>
    <cellStyle name="Porcentagem 22" xfId="625"/>
    <cellStyle name="Porcentagem 23" xfId="626"/>
    <cellStyle name="Porcentagem 24" xfId="627"/>
    <cellStyle name="Porcentagem 25" xfId="628"/>
    <cellStyle name="Porcentagem 26" xfId="629"/>
    <cellStyle name="Porcentagem 27" xfId="630"/>
    <cellStyle name="Porcentagem 28" xfId="631"/>
    <cellStyle name="Porcentagem 29" xfId="632"/>
    <cellStyle name="Porcentagem 3" xfId="633"/>
    <cellStyle name="Porcentagem 30" xfId="634"/>
    <cellStyle name="Porcentagem 31" xfId="635"/>
    <cellStyle name="Porcentagem 33" xfId="636"/>
    <cellStyle name="Porcentagem 4" xfId="637"/>
    <cellStyle name="Porcentagem 5" xfId="638"/>
    <cellStyle name="Porcentagem 6" xfId="639"/>
    <cellStyle name="Porcentagem 7" xfId="640"/>
    <cellStyle name="Porcentagem 8" xfId="641"/>
    <cellStyle name="Porcentagem 9" xfId="642"/>
    <cellStyle name="Saída 2" xfId="643"/>
    <cellStyle name="Saída 2 2" xfId="644"/>
    <cellStyle name="Saída 2 3" xfId="645"/>
    <cellStyle name="Saída 2_CIVIL- BL 1-2-3-4-5-6-7-8 " xfId="646"/>
    <cellStyle name="Saída 3" xfId="647"/>
    <cellStyle name="Saída 4" xfId="648"/>
    <cellStyle name="Saída 5" xfId="649"/>
    <cellStyle name="Saída 6" xfId="650"/>
    <cellStyle name="Separador de milhares 10" xfId="651"/>
    <cellStyle name="Separador de milhares 10 2" xfId="652"/>
    <cellStyle name="Separador de milhares 10 2 2" xfId="653"/>
    <cellStyle name="Separador de milhares 10 2 2 2" xfId="654"/>
    <cellStyle name="Separador de milhares 10 2 3" xfId="655"/>
    <cellStyle name="Separador de milhares 11" xfId="656"/>
    <cellStyle name="Separador de milhares 11 2" xfId="657"/>
    <cellStyle name="Separador de milhares 11 2 2" xfId="658"/>
    <cellStyle name="Separador de milhares 11 2 2 2" xfId="659"/>
    <cellStyle name="Separador de milhares 11 2 3" xfId="660"/>
    <cellStyle name="Separador de milhares 12" xfId="661"/>
    <cellStyle name="Separador de milhares 12 2" xfId="662"/>
    <cellStyle name="Separador de milhares 12 2 2" xfId="663"/>
    <cellStyle name="Separador de milhares 12 2 2 2" xfId="664"/>
    <cellStyle name="Separador de milhares 12 2 3" xfId="665"/>
    <cellStyle name="Separador de milhares 13" xfId="666"/>
    <cellStyle name="Separador de milhares 13 2" xfId="667"/>
    <cellStyle name="Separador de milhares 13 2 2" xfId="668"/>
    <cellStyle name="Separador de milhares 13 2 2 2" xfId="669"/>
    <cellStyle name="Separador de milhares 13 2 3" xfId="670"/>
    <cellStyle name="Separador de milhares 14" xfId="671"/>
    <cellStyle name="Separador de milhares 14 2" xfId="672"/>
    <cellStyle name="Separador de milhares 14 2 2" xfId="673"/>
    <cellStyle name="Separador de milhares 14 2 2 2" xfId="674"/>
    <cellStyle name="Separador de milhares 14 2 3" xfId="675"/>
    <cellStyle name="Separador de milhares 15" xfId="676"/>
    <cellStyle name="Separador de milhares 15 2" xfId="677"/>
    <cellStyle name="Separador de milhares 15 2 2" xfId="678"/>
    <cellStyle name="Separador de milhares 15 2 2 2" xfId="679"/>
    <cellStyle name="Separador de milhares 15 2 3" xfId="680"/>
    <cellStyle name="Separador de milhares 16" xfId="681"/>
    <cellStyle name="Separador de milhares 16 2" xfId="682"/>
    <cellStyle name="Separador de milhares 16 2 2" xfId="683"/>
    <cellStyle name="Separador de milhares 16 2 2 2" xfId="684"/>
    <cellStyle name="Separador de milhares 16 2 3" xfId="685"/>
    <cellStyle name="Separador de milhares 17" xfId="686"/>
    <cellStyle name="Separador de milhares 17 2" xfId="687"/>
    <cellStyle name="Separador de milhares 17 2 2" xfId="688"/>
    <cellStyle name="Separador de milhares 17 2 2 2" xfId="689"/>
    <cellStyle name="Separador de milhares 17 2 3" xfId="690"/>
    <cellStyle name="Separador de milhares 18" xfId="691"/>
    <cellStyle name="Separador de milhares 18 2" xfId="692"/>
    <cellStyle name="Separador de milhares 18 2 2" xfId="693"/>
    <cellStyle name="Separador de milhares 18 2 2 2" xfId="694"/>
    <cellStyle name="Separador de milhares 18 2 3" xfId="695"/>
    <cellStyle name="Separador de milhares 19" xfId="696"/>
    <cellStyle name="Separador de milhares 19 2" xfId="697"/>
    <cellStyle name="Separador de milhares 19 2 2" xfId="698"/>
    <cellStyle name="Separador de milhares 19 2 2 2" xfId="699"/>
    <cellStyle name="Separador de milhares 19 2 3" xfId="700"/>
    <cellStyle name="Separador de milhares 2 10" xfId="701"/>
    <cellStyle name="Separador de milhares 2 10 2" xfId="702"/>
    <cellStyle name="Separador de milhares 2 10 2 2" xfId="703"/>
    <cellStyle name="Separador de milhares 2 10 2 2 2" xfId="704"/>
    <cellStyle name="Separador de milhares 2 10 2 3" xfId="705"/>
    <cellStyle name="Separador de milhares 2 11" xfId="706"/>
    <cellStyle name="Separador de milhares 2 11 2" xfId="707"/>
    <cellStyle name="Separador de milhares 2 11 2 2" xfId="708"/>
    <cellStyle name="Separador de milhares 2 11 2 2 2" xfId="709"/>
    <cellStyle name="Separador de milhares 2 11 2 3" xfId="710"/>
    <cellStyle name="Separador de milhares 2 12" xfId="711"/>
    <cellStyle name="Separador de milhares 2 12 2" xfId="712"/>
    <cellStyle name="Separador de milhares 2 12 2 2" xfId="713"/>
    <cellStyle name="Separador de milhares 2 12 2 2 2" xfId="714"/>
    <cellStyle name="Separador de milhares 2 12 2 3" xfId="715"/>
    <cellStyle name="Separador de milhares 2 13" xfId="716"/>
    <cellStyle name="Separador de milhares 2 13 2" xfId="717"/>
    <cellStyle name="Separador de milhares 2 13 2 2" xfId="718"/>
    <cellStyle name="Separador de milhares 2 13 2 2 2" xfId="719"/>
    <cellStyle name="Separador de milhares 2 13 2 3" xfId="720"/>
    <cellStyle name="Separador de milhares 2 14" xfId="721"/>
    <cellStyle name="Separador de milhares 2 14 2" xfId="722"/>
    <cellStyle name="Separador de milhares 2 14 2 2" xfId="723"/>
    <cellStyle name="Separador de milhares 2 14 2 2 2" xfId="724"/>
    <cellStyle name="Separador de milhares 2 14 2 3" xfId="725"/>
    <cellStyle name="Separador de milhares 2 15" xfId="726"/>
    <cellStyle name="Separador de milhares 2 15 2" xfId="727"/>
    <cellStyle name="Separador de milhares 2 15 2 2" xfId="728"/>
    <cellStyle name="Separador de milhares 2 15 2 2 2" xfId="729"/>
    <cellStyle name="Separador de milhares 2 15 2 3" xfId="730"/>
    <cellStyle name="Separador de milhares 2 16" xfId="731"/>
    <cellStyle name="Separador de milhares 2 16 2" xfId="732"/>
    <cellStyle name="Separador de milhares 2 16 2 2" xfId="733"/>
    <cellStyle name="Separador de milhares 2 16 2 2 2" xfId="734"/>
    <cellStyle name="Separador de milhares 2 16 2 3" xfId="735"/>
    <cellStyle name="Separador de milhares 2 17" xfId="736"/>
    <cellStyle name="Separador de milhares 2 17 2" xfId="737"/>
    <cellStyle name="Separador de milhares 2 17 2 2" xfId="738"/>
    <cellStyle name="Separador de milhares 2 17 2 2 2" xfId="739"/>
    <cellStyle name="Separador de milhares 2 17 2 3" xfId="740"/>
    <cellStyle name="Separador de milhares 2 18" xfId="741"/>
    <cellStyle name="Separador de milhares 2 18 2" xfId="742"/>
    <cellStyle name="Separador de milhares 2 18 2 2" xfId="743"/>
    <cellStyle name="Separador de milhares 2 18 2 2 2" xfId="744"/>
    <cellStyle name="Separador de milhares 2 18 2 3" xfId="745"/>
    <cellStyle name="Separador de milhares 2 19" xfId="746"/>
    <cellStyle name="Separador de milhares 2 19 2" xfId="747"/>
    <cellStyle name="Separador de milhares 2 19 2 2" xfId="748"/>
    <cellStyle name="Separador de milhares 2 19 2 2 2" xfId="749"/>
    <cellStyle name="Separador de milhares 2 19 2 3" xfId="750"/>
    <cellStyle name="Separador de milhares 2 2" xfId="751"/>
    <cellStyle name="Separador de milhares 2 2 2" xfId="752"/>
    <cellStyle name="Separador de milhares 2 2 3" xfId="753"/>
    <cellStyle name="Separador de milhares 2 2 3 2" xfId="754"/>
    <cellStyle name="Separador de milhares 2 2 3 2 2" xfId="755"/>
    <cellStyle name="Separador de milhares 2 2 3 3" xfId="756"/>
    <cellStyle name="Separador de milhares 2 20" xfId="757"/>
    <cellStyle name="Separador de milhares 2 20 2" xfId="758"/>
    <cellStyle name="Separador de milhares 2 20 2 2" xfId="759"/>
    <cellStyle name="Separador de milhares 2 20 2 2 2" xfId="760"/>
    <cellStyle name="Separador de milhares 2 20 2 3" xfId="761"/>
    <cellStyle name="Separador de milhares 2 21" xfId="762"/>
    <cellStyle name="Separador de milhares 2 21 2" xfId="763"/>
    <cellStyle name="Separador de milhares 2 21 2 2" xfId="764"/>
    <cellStyle name="Separador de milhares 2 21 2 2 2" xfId="765"/>
    <cellStyle name="Separador de milhares 2 21 2 3" xfId="766"/>
    <cellStyle name="Separador de milhares 2 22" xfId="767"/>
    <cellStyle name="Separador de milhares 2 22 2" xfId="768"/>
    <cellStyle name="Separador de milhares 2 22 2 2" xfId="769"/>
    <cellStyle name="Separador de milhares 2 22 2 2 2" xfId="770"/>
    <cellStyle name="Separador de milhares 2 22 2 3" xfId="771"/>
    <cellStyle name="Separador de milhares 2 23" xfId="772"/>
    <cellStyle name="Separador de milhares 2 23 2" xfId="773"/>
    <cellStyle name="Separador de milhares 2 23 2 2" xfId="774"/>
    <cellStyle name="Separador de milhares 2 23 2 2 2" xfId="775"/>
    <cellStyle name="Separador de milhares 2 23 2 3" xfId="776"/>
    <cellStyle name="Separador de milhares 2 24" xfId="777"/>
    <cellStyle name="Separador de milhares 2 24 2" xfId="778"/>
    <cellStyle name="Separador de milhares 2 24 2 2" xfId="779"/>
    <cellStyle name="Separador de milhares 2 24 2 2 2" xfId="780"/>
    <cellStyle name="Separador de milhares 2 24 2 3" xfId="781"/>
    <cellStyle name="Separador de milhares 2 25" xfId="782"/>
    <cellStyle name="Separador de milhares 2 25 2" xfId="783"/>
    <cellStyle name="Separador de milhares 2 25 2 2" xfId="784"/>
    <cellStyle name="Separador de milhares 2 25 2 2 2" xfId="785"/>
    <cellStyle name="Separador de milhares 2 25 2 3" xfId="786"/>
    <cellStyle name="Separador de milhares 2 26" xfId="787"/>
    <cellStyle name="Separador de milhares 2 26 2" xfId="788"/>
    <cellStyle name="Separador de milhares 2 26 2 2" xfId="789"/>
    <cellStyle name="Separador de milhares 2 26 2 2 2" xfId="790"/>
    <cellStyle name="Separador de milhares 2 26 2 3" xfId="791"/>
    <cellStyle name="Separador de milhares 2 27" xfId="792"/>
    <cellStyle name="Separador de milhares 2 27 2" xfId="793"/>
    <cellStyle name="Separador de milhares 2 27 2 2" xfId="794"/>
    <cellStyle name="Separador de milhares 2 27 2 2 2" xfId="795"/>
    <cellStyle name="Separador de milhares 2 27 2 3" xfId="796"/>
    <cellStyle name="Separador de milhares 2 28" xfId="797"/>
    <cellStyle name="Separador de milhares 2 28 2" xfId="798"/>
    <cellStyle name="Separador de milhares 2 28 2 2" xfId="799"/>
    <cellStyle name="Separador de milhares 2 28 2 2 2" xfId="800"/>
    <cellStyle name="Separador de milhares 2 28 2 3" xfId="801"/>
    <cellStyle name="Separador de milhares 2 29" xfId="802"/>
    <cellStyle name="Separador de milhares 2 29 2" xfId="803"/>
    <cellStyle name="Separador de milhares 2 29 2 2" xfId="804"/>
    <cellStyle name="Separador de milhares 2 29 2 2 2" xfId="805"/>
    <cellStyle name="Separador de milhares 2 29 2 3" xfId="806"/>
    <cellStyle name="Separador de milhares 2 3" xfId="807"/>
    <cellStyle name="Separador de milhares 2 3 2" xfId="808"/>
    <cellStyle name="Separador de milhares 2 3 2 2" xfId="809"/>
    <cellStyle name="Separador de milhares 2 3 2 2 2" xfId="810"/>
    <cellStyle name="Separador de milhares 2 3 2 3" xfId="811"/>
    <cellStyle name="Separador de milhares 2 30" xfId="812"/>
    <cellStyle name="Separador de milhares 2 30 2" xfId="813"/>
    <cellStyle name="Separador de milhares 2 30 2 2" xfId="814"/>
    <cellStyle name="Separador de milhares 2 30 2 2 2" xfId="815"/>
    <cellStyle name="Separador de milhares 2 30 2 3" xfId="816"/>
    <cellStyle name="Separador de milhares 2 31" xfId="817"/>
    <cellStyle name="Separador de milhares 2 31 2" xfId="818"/>
    <cellStyle name="Separador de milhares 2 31 2 2" xfId="819"/>
    <cellStyle name="Separador de milhares 2 31 2 2 2" xfId="820"/>
    <cellStyle name="Separador de milhares 2 31 2 3" xfId="821"/>
    <cellStyle name="Separador de milhares 2 4" xfId="822"/>
    <cellStyle name="Separador de milhares 2 4 2" xfId="823"/>
    <cellStyle name="Separador de milhares 2 4 2 2" xfId="824"/>
    <cellStyle name="Separador de milhares 2 4 2 2 2" xfId="825"/>
    <cellStyle name="Separador de milhares 2 4 2 3" xfId="826"/>
    <cellStyle name="Separador de milhares 2 5" xfId="827"/>
    <cellStyle name="Separador de milhares 2 5 2" xfId="828"/>
    <cellStyle name="Separador de milhares 2 5 2 2" xfId="829"/>
    <cellStyle name="Separador de milhares 2 5 2 2 2" xfId="830"/>
    <cellStyle name="Separador de milhares 2 5 2 3" xfId="831"/>
    <cellStyle name="Separador de milhares 2 6" xfId="832"/>
    <cellStyle name="Separador de milhares 2 6 2" xfId="833"/>
    <cellStyle name="Separador de milhares 2 6 2 2" xfId="834"/>
    <cellStyle name="Separador de milhares 2 6 2 2 2" xfId="835"/>
    <cellStyle name="Separador de milhares 2 6 2 3" xfId="836"/>
    <cellStyle name="Separador de milhares 2 7" xfId="837"/>
    <cellStyle name="Separador de milhares 2 7 2" xfId="838"/>
    <cellStyle name="Separador de milhares 2 7 2 2" xfId="839"/>
    <cellStyle name="Separador de milhares 2 7 2 2 2" xfId="840"/>
    <cellStyle name="Separador de milhares 2 7 2 3" xfId="841"/>
    <cellStyle name="Separador de milhares 2 8" xfId="842"/>
    <cellStyle name="Separador de milhares 2 8 2" xfId="843"/>
    <cellStyle name="Separador de milhares 2 8 2 2" xfId="844"/>
    <cellStyle name="Separador de milhares 2 8 2 2 2" xfId="845"/>
    <cellStyle name="Separador de milhares 2 8 2 3" xfId="846"/>
    <cellStyle name="Separador de milhares 2 9" xfId="847"/>
    <cellStyle name="Separador de milhares 2 9 2" xfId="848"/>
    <cellStyle name="Separador de milhares 2 9 2 2" xfId="849"/>
    <cellStyle name="Separador de milhares 2 9 2 2 2" xfId="850"/>
    <cellStyle name="Separador de milhares 2 9 2 3" xfId="851"/>
    <cellStyle name="Separador de milhares 20" xfId="852"/>
    <cellStyle name="Separador de milhares 20 2" xfId="853"/>
    <cellStyle name="Separador de milhares 20 2 2" xfId="854"/>
    <cellStyle name="Separador de milhares 20 2 2 2" xfId="855"/>
    <cellStyle name="Separador de milhares 20 2 3" xfId="856"/>
    <cellStyle name="Separador de milhares 21" xfId="857"/>
    <cellStyle name="Separador de milhares 21 2" xfId="858"/>
    <cellStyle name="Separador de milhares 21 2 2" xfId="859"/>
    <cellStyle name="Separador de milhares 21 2 2 2" xfId="860"/>
    <cellStyle name="Separador de milhares 21 2 3" xfId="861"/>
    <cellStyle name="Separador de milhares 22" xfId="862"/>
    <cellStyle name="Separador de milhares 22 2" xfId="863"/>
    <cellStyle name="Separador de milhares 22 2 2" xfId="864"/>
    <cellStyle name="Separador de milhares 22 2 2 2" xfId="865"/>
    <cellStyle name="Separador de milhares 22 2 3" xfId="866"/>
    <cellStyle name="Separador de milhares 23" xfId="867"/>
    <cellStyle name="Separador de milhares 23 2" xfId="868"/>
    <cellStyle name="Separador de milhares 23 2 2" xfId="869"/>
    <cellStyle name="Separador de milhares 23 2 2 2" xfId="870"/>
    <cellStyle name="Separador de milhares 23 2 3" xfId="871"/>
    <cellStyle name="Separador de milhares 24" xfId="872"/>
    <cellStyle name="Separador de milhares 24 2" xfId="873"/>
    <cellStyle name="Separador de milhares 24 2 2" xfId="874"/>
    <cellStyle name="Separador de milhares 24 2 2 2" xfId="875"/>
    <cellStyle name="Separador de milhares 24 2 3" xfId="876"/>
    <cellStyle name="Separador de milhares 25" xfId="877"/>
    <cellStyle name="Separador de milhares 25 2" xfId="878"/>
    <cellStyle name="Separador de milhares 25 2 2" xfId="879"/>
    <cellStyle name="Separador de milhares 25 2 2 2" xfId="880"/>
    <cellStyle name="Separador de milhares 25 2 3" xfId="881"/>
    <cellStyle name="Separador de milhares 26" xfId="882"/>
    <cellStyle name="Separador de milhares 26 2" xfId="883"/>
    <cellStyle name="Separador de milhares 26 2 2" xfId="884"/>
    <cellStyle name="Separador de milhares 26 2 2 2" xfId="885"/>
    <cellStyle name="Separador de milhares 26 2 3" xfId="886"/>
    <cellStyle name="Separador de milhares 27" xfId="887"/>
    <cellStyle name="Separador de milhares 27 2" xfId="888"/>
    <cellStyle name="Separador de milhares 27 2 2" xfId="889"/>
    <cellStyle name="Separador de milhares 27 2 2 2" xfId="890"/>
    <cellStyle name="Separador de milhares 27 2 3" xfId="891"/>
    <cellStyle name="Separador de milhares 28" xfId="892"/>
    <cellStyle name="Separador de milhares 28 2" xfId="893"/>
    <cellStyle name="Separador de milhares 28 2 2" xfId="894"/>
    <cellStyle name="Separador de milhares 28 2 2 2" xfId="895"/>
    <cellStyle name="Separador de milhares 28 2 3" xfId="896"/>
    <cellStyle name="Separador de milhares 29" xfId="897"/>
    <cellStyle name="Separador de milhares 29 2" xfId="898"/>
    <cellStyle name="Separador de milhares 29 2 2" xfId="899"/>
    <cellStyle name="Separador de milhares 29 2 2 2" xfId="900"/>
    <cellStyle name="Separador de milhares 29 2 3" xfId="901"/>
    <cellStyle name="Separador de milhares 3 2" xfId="902"/>
    <cellStyle name="Separador de milhares 3 2 2" xfId="903"/>
    <cellStyle name="Separador de milhares 3 2 2 2" xfId="904"/>
    <cellStyle name="Separador de milhares 3 2 2 2 2" xfId="905"/>
    <cellStyle name="Separador de milhares 3 2 2 3" xfId="906"/>
    <cellStyle name="Separador de milhares 3 3" xfId="907"/>
    <cellStyle name="Separador de milhares 3 3 2" xfId="908"/>
    <cellStyle name="Separador de milhares 3 3 2 2" xfId="909"/>
    <cellStyle name="Separador de milhares 3 3 2 2 2" xfId="910"/>
    <cellStyle name="Separador de milhares 3 3 2 3" xfId="911"/>
    <cellStyle name="Separador de milhares 3 4" xfId="912"/>
    <cellStyle name="Separador de milhares 3 4 2" xfId="913"/>
    <cellStyle name="Separador de milhares 3 4 2 2" xfId="914"/>
    <cellStyle name="Separador de milhares 3 4 2 2 2" xfId="915"/>
    <cellStyle name="Separador de milhares 3 4 2 3" xfId="916"/>
    <cellStyle name="Separador de milhares 30" xfId="917"/>
    <cellStyle name="Separador de milhares 30 2" xfId="918"/>
    <cellStyle name="Separador de milhares 30 2 2" xfId="919"/>
    <cellStyle name="Separador de milhares 30 2 2 2" xfId="920"/>
    <cellStyle name="Separador de milhares 30 2 3" xfId="921"/>
    <cellStyle name="Separador de milhares 31" xfId="922"/>
    <cellStyle name="Separador de milhares 31 2" xfId="923"/>
    <cellStyle name="Separador de milhares 31 2 2" xfId="924"/>
    <cellStyle name="Separador de milhares 31 2 2 2" xfId="925"/>
    <cellStyle name="Separador de milhares 31 2 3" xfId="926"/>
    <cellStyle name="Separador de milhares 4" xfId="927"/>
    <cellStyle name="Separador de milhares 4 2" xfId="928"/>
    <cellStyle name="Separador de milhares 4 2 2" xfId="929"/>
    <cellStyle name="Separador de milhares 4 2 2 2" xfId="930"/>
    <cellStyle name="Separador de milhares 4 2 3" xfId="931"/>
    <cellStyle name="Separador de milhares 5" xfId="932"/>
    <cellStyle name="Separador de milhares 5 2" xfId="933"/>
    <cellStyle name="Separador de milhares 5 2 2" xfId="934"/>
    <cellStyle name="Separador de milhares 5 2 2 2" xfId="935"/>
    <cellStyle name="Separador de milhares 5 2 2 2 2" xfId="936"/>
    <cellStyle name="Separador de milhares 5 2 2 3" xfId="937"/>
    <cellStyle name="Separador de milhares 5 3" xfId="938"/>
    <cellStyle name="Separador de milhares 5 3 2" xfId="939"/>
    <cellStyle name="Separador de milhares 5 3 2 2" xfId="940"/>
    <cellStyle name="Separador de milhares 5 3 2 2 2" xfId="941"/>
    <cellStyle name="Separador de milhares 5 3 2 3" xfId="942"/>
    <cellStyle name="Separador de milhares 5 4" xfId="943"/>
    <cellStyle name="Separador de milhares 5 4 2" xfId="944"/>
    <cellStyle name="Separador de milhares 5 4 2 2" xfId="945"/>
    <cellStyle name="Separador de milhares 5 4 3" xfId="946"/>
    <cellStyle name="Separador de milhares 6" xfId="947"/>
    <cellStyle name="Separador de milhares 6 2" xfId="948"/>
    <cellStyle name="Separador de milhares 6 2 2" xfId="949"/>
    <cellStyle name="Separador de milhares 6 2 2 2" xfId="950"/>
    <cellStyle name="Separador de milhares 6 2 2 2 2" xfId="951"/>
    <cellStyle name="Separador de milhares 6 2 2 3" xfId="952"/>
    <cellStyle name="Separador de milhares 6 3" xfId="953"/>
    <cellStyle name="Separador de milhares 6 3 2" xfId="954"/>
    <cellStyle name="Separador de milhares 6 3 2 2" xfId="955"/>
    <cellStyle name="Separador de milhares 6 3 3" xfId="956"/>
    <cellStyle name="Separador de milhares 7" xfId="957"/>
    <cellStyle name="Separador de milhares 7 2" xfId="958"/>
    <cellStyle name="Separador de milhares 7 2 2" xfId="959"/>
    <cellStyle name="Separador de milhares 7 2 2 2" xfId="960"/>
    <cellStyle name="Separador de milhares 7 2 3" xfId="961"/>
    <cellStyle name="Separador de milhares 8" xfId="962"/>
    <cellStyle name="Separador de milhares 8 2" xfId="963"/>
    <cellStyle name="Separador de milhares 8 2 2" xfId="964"/>
    <cellStyle name="Separador de milhares 8 2 2 2" xfId="965"/>
    <cellStyle name="Separador de milhares 8 2 3" xfId="966"/>
    <cellStyle name="Separador de milhares 9" xfId="967"/>
    <cellStyle name="Separador de milhares 9 2" xfId="968"/>
    <cellStyle name="Separador de milhares 9 2 2" xfId="969"/>
    <cellStyle name="Separador de milhares 9 2 2 2" xfId="970"/>
    <cellStyle name="Separador de milhares 9 2 3" xfId="971"/>
    <cellStyle name="Separador de milhares_TRANSPORTE_QUENTE_E_FRIO 2" xfId="972"/>
    <cellStyle name="Texto de Aviso 2" xfId="973"/>
    <cellStyle name="Texto de Aviso 2 2" xfId="974"/>
    <cellStyle name="Texto de Aviso 2 3" xfId="975"/>
    <cellStyle name="Texto de Aviso 2_ORÇAMENTO - FORUM DE V. GRANDE" xfId="976"/>
    <cellStyle name="Texto de Aviso 3" xfId="977"/>
    <cellStyle name="Texto de Aviso 4" xfId="978"/>
    <cellStyle name="Texto de Aviso 5" xfId="979"/>
    <cellStyle name="Texto de Aviso 6" xfId="980"/>
    <cellStyle name="Texto Explicativo 2" xfId="981"/>
    <cellStyle name="Texto Explicativo 2 2" xfId="982"/>
    <cellStyle name="Texto Explicativo 2 3" xfId="983"/>
    <cellStyle name="Texto Explicativo 2_ORÇAMENTO - FORUM DE V. GRANDE" xfId="984"/>
    <cellStyle name="Texto Explicativo 3" xfId="985"/>
    <cellStyle name="Texto Explicativo 4" xfId="986"/>
    <cellStyle name="Texto Explicativo 5" xfId="987"/>
    <cellStyle name="Texto Explicativo 6" xfId="988"/>
    <cellStyle name="Title" xfId="989"/>
    <cellStyle name="Título 1 2" xfId="990"/>
    <cellStyle name="Título 1 2 2" xfId="991"/>
    <cellStyle name="Título 1 2 3" xfId="992"/>
    <cellStyle name="Título 1 2_CIVIL- BL 1-2-3-4-5-6-7-8 " xfId="993"/>
    <cellStyle name="Título 1 3" xfId="994"/>
    <cellStyle name="Título 1 4" xfId="995"/>
    <cellStyle name="Título 1 5" xfId="996"/>
    <cellStyle name="Título 1 6" xfId="997"/>
    <cellStyle name="Título 10" xfId="998"/>
    <cellStyle name="Título 2 2" xfId="999"/>
    <cellStyle name="Título 2 2 2" xfId="1000"/>
    <cellStyle name="Título 2 2 3" xfId="1001"/>
    <cellStyle name="Título 2 2_CIVIL- BL 1-2-3-4-5-6-7-8 " xfId="1002"/>
    <cellStyle name="Título 2 3" xfId="1003"/>
    <cellStyle name="Título 2 4" xfId="1004"/>
    <cellStyle name="Título 2 5" xfId="1005"/>
    <cellStyle name="Título 2 6" xfId="1006"/>
    <cellStyle name="Título 3 2" xfId="1007"/>
    <cellStyle name="Título 3 2 2" xfId="1008"/>
    <cellStyle name="Título 3 2 3" xfId="1009"/>
    <cellStyle name="Título 3 2_CIVIL- BL 1-2-3-4-5-6-7-8 " xfId="1010"/>
    <cellStyle name="Título 3 3" xfId="1011"/>
    <cellStyle name="Título 3 4" xfId="1012"/>
    <cellStyle name="Título 3 5" xfId="1013"/>
    <cellStyle name="Título 3 6" xfId="1014"/>
    <cellStyle name="Título 4 2" xfId="1015"/>
    <cellStyle name="Título 4 2 2" xfId="1016"/>
    <cellStyle name="Título 4 2 3" xfId="1017"/>
    <cellStyle name="Título 4 2_ORÇAMENTO - FORUM DE V. GRANDE" xfId="1018"/>
    <cellStyle name="Título 4 3" xfId="1019"/>
    <cellStyle name="Título 4 4" xfId="1020"/>
    <cellStyle name="Título 4 5" xfId="1021"/>
    <cellStyle name="Título 4 6" xfId="1022"/>
    <cellStyle name="Título 5" xfId="1023"/>
    <cellStyle name="Título 5 2" xfId="1024"/>
    <cellStyle name="Título 5 3" xfId="1025"/>
    <cellStyle name="Título 5_ORÇAMENTO - FORUM DE V. GRANDE" xfId="1026"/>
    <cellStyle name="Título 6" xfId="1027"/>
    <cellStyle name="Título 7" xfId="1028"/>
    <cellStyle name="Título 8" xfId="1029"/>
    <cellStyle name="Título 9" xfId="1030"/>
    <cellStyle name="Total 2" xfId="1031"/>
    <cellStyle name="Total 2 2" xfId="1032"/>
    <cellStyle name="Total 2 3" xfId="1033"/>
    <cellStyle name="Total 2_CIVIL- BL 1-2-3-4-5-6-7-8 " xfId="1034"/>
    <cellStyle name="Total 3" xfId="1035"/>
    <cellStyle name="Total 4" xfId="1036"/>
    <cellStyle name="Total 5" xfId="1037"/>
    <cellStyle name="Total 6" xfId="1038"/>
    <cellStyle name="Total 7" xfId="1039"/>
    <cellStyle name="Vírgula" xfId="1040" builtinId="3"/>
    <cellStyle name="Vírgula 2" xfId="1041"/>
    <cellStyle name="Vírgula 2 2" xfId="1042"/>
    <cellStyle name="Vírgula 2 2 2" xfId="1043"/>
    <cellStyle name="Vírgula 2 2 2 2" xfId="1044"/>
    <cellStyle name="Vírgula 2 2 2 2 2" xfId="1045"/>
    <cellStyle name="Vírgula 2 2 2 3" xfId="1046"/>
    <cellStyle name="Vírgula 2 3" xfId="1047"/>
    <cellStyle name="Vírgula 2 3 2" xfId="1048"/>
    <cellStyle name="Vírgula 2 3 2 2" xfId="1049"/>
    <cellStyle name="Vírgula 2 3 2 2 2" xfId="1050"/>
    <cellStyle name="Vírgula 2 3 2 3" xfId="1051"/>
    <cellStyle name="Vírgula 2 4" xfId="1052"/>
    <cellStyle name="Vírgula 2 4 2" xfId="1053"/>
    <cellStyle name="Vírgula 2 4 2 2" xfId="1054"/>
    <cellStyle name="Vírgula 2 4 3" xfId="1055"/>
    <cellStyle name="Vírgula 3" xfId="1056"/>
    <cellStyle name="Vírgula 3 2" xfId="1057"/>
    <cellStyle name="Vírgula 3 2 2" xfId="1058"/>
    <cellStyle name="Vírgula 3 2 2 2" xfId="1059"/>
    <cellStyle name="Vírgula 3 2 2 2 2" xfId="1060"/>
    <cellStyle name="Vírgula 3 2 2 3" xfId="1061"/>
    <cellStyle name="Vírgula 3 3" xfId="1062"/>
    <cellStyle name="Vírgula 3 3 2" xfId="1063"/>
    <cellStyle name="Vírgula 3 3 2 2" xfId="1064"/>
    <cellStyle name="Vírgula 3 3 3" xfId="1065"/>
    <cellStyle name="Vírgula 4" xfId="1066"/>
    <cellStyle name="Vírgula 4 2" xfId="1067"/>
    <cellStyle name="Vírgula 4 2 2" xfId="1068"/>
    <cellStyle name="Vírgula 4 2 2 2" xfId="1069"/>
    <cellStyle name="Vírgula 4 2 2 2 2" xfId="1070"/>
    <cellStyle name="Vírgula 4 2 2 3" xfId="1071"/>
    <cellStyle name="Vírgula 4 3" xfId="1072"/>
    <cellStyle name="Vírgula 4 3 2" xfId="1073"/>
    <cellStyle name="Vírgula 4 3 2 2" xfId="1074"/>
    <cellStyle name="Vírgula 4 3 3" xfId="1075"/>
    <cellStyle name="Vírgula 5" xfId="1076"/>
    <cellStyle name="Vírgula 5 2" xfId="1077"/>
    <cellStyle name="Vírgula 5 2 2" xfId="1078"/>
    <cellStyle name="Vírgula 5 2 2 2" xfId="1079"/>
    <cellStyle name="Vírgula 5 2 3" xfId="1080"/>
    <cellStyle name="Vírgula 5 3" xfId="1081"/>
    <cellStyle name="Vírgula 5 3 2" xfId="1082"/>
    <cellStyle name="Vírgula 5 4" xfId="1083"/>
    <cellStyle name="Vírgula 6" xfId="1084"/>
    <cellStyle name="Vírgula 6 2" xfId="1085"/>
    <cellStyle name="Vírgula 6 2 2" xfId="1086"/>
    <cellStyle name="Vírgula 6 3" xfId="1087"/>
    <cellStyle name="Warning Text" xfId="108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5</xdr:row>
      <xdr:rowOff>76200</xdr:rowOff>
    </xdr:from>
    <xdr:to>
      <xdr:col>1</xdr:col>
      <xdr:colOff>1060174</xdr:colOff>
      <xdr:row>5</xdr:row>
      <xdr:rowOff>570000</xdr:rowOff>
    </xdr:to>
    <xdr:pic>
      <xdr:nvPicPr>
        <xdr:cNvPr id="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976" y="1343439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6</xdr:row>
      <xdr:rowOff>95250</xdr:rowOff>
    </xdr:from>
    <xdr:to>
      <xdr:col>1</xdr:col>
      <xdr:colOff>1184413</xdr:colOff>
      <xdr:row>6</xdr:row>
      <xdr:rowOff>534273</xdr:rowOff>
    </xdr:to>
    <xdr:pic>
      <xdr:nvPicPr>
        <xdr:cNvPr id="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3776" y="2141054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628650</xdr:colOff>
      <xdr:row>9</xdr:row>
      <xdr:rowOff>76200</xdr:rowOff>
    </xdr:from>
    <xdr:ext cx="431524" cy="493800"/>
    <xdr:pic>
      <xdr:nvPicPr>
        <xdr:cNvPr id="3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10</xdr:row>
      <xdr:rowOff>95250</xdr:rowOff>
    </xdr:from>
    <xdr:ext cx="631963" cy="439023"/>
    <xdr:pic>
      <xdr:nvPicPr>
        <xdr:cNvPr id="3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13</xdr:row>
      <xdr:rowOff>76200</xdr:rowOff>
    </xdr:from>
    <xdr:ext cx="431524" cy="493800"/>
    <xdr:pic>
      <xdr:nvPicPr>
        <xdr:cNvPr id="3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14</xdr:row>
      <xdr:rowOff>95250</xdr:rowOff>
    </xdr:from>
    <xdr:ext cx="631963" cy="439023"/>
    <xdr:pic>
      <xdr:nvPicPr>
        <xdr:cNvPr id="3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17</xdr:row>
      <xdr:rowOff>76200</xdr:rowOff>
    </xdr:from>
    <xdr:ext cx="431524" cy="493800"/>
    <xdr:pic>
      <xdr:nvPicPr>
        <xdr:cNvPr id="3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18</xdr:row>
      <xdr:rowOff>95250</xdr:rowOff>
    </xdr:from>
    <xdr:ext cx="631963" cy="439023"/>
    <xdr:pic>
      <xdr:nvPicPr>
        <xdr:cNvPr id="3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21</xdr:row>
      <xdr:rowOff>76200</xdr:rowOff>
    </xdr:from>
    <xdr:ext cx="431524" cy="493800"/>
    <xdr:pic>
      <xdr:nvPicPr>
        <xdr:cNvPr id="3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22</xdr:row>
      <xdr:rowOff>95250</xdr:rowOff>
    </xdr:from>
    <xdr:ext cx="631963" cy="439023"/>
    <xdr:pic>
      <xdr:nvPicPr>
        <xdr:cNvPr id="3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25</xdr:row>
      <xdr:rowOff>76200</xdr:rowOff>
    </xdr:from>
    <xdr:ext cx="431524" cy="493800"/>
    <xdr:pic>
      <xdr:nvPicPr>
        <xdr:cNvPr id="4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26</xdr:row>
      <xdr:rowOff>95250</xdr:rowOff>
    </xdr:from>
    <xdr:ext cx="631963" cy="439023"/>
    <xdr:pic>
      <xdr:nvPicPr>
        <xdr:cNvPr id="4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29</xdr:row>
      <xdr:rowOff>76200</xdr:rowOff>
    </xdr:from>
    <xdr:ext cx="431524" cy="493800"/>
    <xdr:pic>
      <xdr:nvPicPr>
        <xdr:cNvPr id="4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30</xdr:row>
      <xdr:rowOff>95250</xdr:rowOff>
    </xdr:from>
    <xdr:ext cx="631963" cy="439023"/>
    <xdr:pic>
      <xdr:nvPicPr>
        <xdr:cNvPr id="4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33</xdr:row>
      <xdr:rowOff>76200</xdr:rowOff>
    </xdr:from>
    <xdr:ext cx="431524" cy="493800"/>
    <xdr:pic>
      <xdr:nvPicPr>
        <xdr:cNvPr id="4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34</xdr:row>
      <xdr:rowOff>95250</xdr:rowOff>
    </xdr:from>
    <xdr:ext cx="631963" cy="439023"/>
    <xdr:pic>
      <xdr:nvPicPr>
        <xdr:cNvPr id="4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37</xdr:row>
      <xdr:rowOff>76200</xdr:rowOff>
    </xdr:from>
    <xdr:ext cx="431524" cy="493800"/>
    <xdr:pic>
      <xdr:nvPicPr>
        <xdr:cNvPr id="4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38</xdr:row>
      <xdr:rowOff>95250</xdr:rowOff>
    </xdr:from>
    <xdr:ext cx="631963" cy="439023"/>
    <xdr:pic>
      <xdr:nvPicPr>
        <xdr:cNvPr id="4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41</xdr:row>
      <xdr:rowOff>76200</xdr:rowOff>
    </xdr:from>
    <xdr:ext cx="431524" cy="493800"/>
    <xdr:pic>
      <xdr:nvPicPr>
        <xdr:cNvPr id="4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42</xdr:row>
      <xdr:rowOff>95250</xdr:rowOff>
    </xdr:from>
    <xdr:ext cx="631963" cy="439023"/>
    <xdr:pic>
      <xdr:nvPicPr>
        <xdr:cNvPr id="4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45</xdr:row>
      <xdr:rowOff>76200</xdr:rowOff>
    </xdr:from>
    <xdr:ext cx="431524" cy="493800"/>
    <xdr:pic>
      <xdr:nvPicPr>
        <xdr:cNvPr id="5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46</xdr:row>
      <xdr:rowOff>95250</xdr:rowOff>
    </xdr:from>
    <xdr:ext cx="631963" cy="439023"/>
    <xdr:pic>
      <xdr:nvPicPr>
        <xdr:cNvPr id="5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49</xdr:row>
      <xdr:rowOff>76200</xdr:rowOff>
    </xdr:from>
    <xdr:ext cx="431524" cy="493800"/>
    <xdr:pic>
      <xdr:nvPicPr>
        <xdr:cNvPr id="5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50</xdr:row>
      <xdr:rowOff>95250</xdr:rowOff>
    </xdr:from>
    <xdr:ext cx="631963" cy="439023"/>
    <xdr:pic>
      <xdr:nvPicPr>
        <xdr:cNvPr id="5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53</xdr:row>
      <xdr:rowOff>76200</xdr:rowOff>
    </xdr:from>
    <xdr:ext cx="431524" cy="493800"/>
    <xdr:pic>
      <xdr:nvPicPr>
        <xdr:cNvPr id="5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54</xdr:row>
      <xdr:rowOff>95250</xdr:rowOff>
    </xdr:from>
    <xdr:ext cx="631963" cy="439023"/>
    <xdr:pic>
      <xdr:nvPicPr>
        <xdr:cNvPr id="5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56</xdr:row>
      <xdr:rowOff>76200</xdr:rowOff>
    </xdr:from>
    <xdr:ext cx="431524" cy="493800"/>
    <xdr:pic>
      <xdr:nvPicPr>
        <xdr:cNvPr id="5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31524" cy="4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552450</xdr:colOff>
      <xdr:row>57</xdr:row>
      <xdr:rowOff>95250</xdr:rowOff>
    </xdr:from>
    <xdr:ext cx="631963" cy="439023"/>
    <xdr:pic>
      <xdr:nvPicPr>
        <xdr:cNvPr id="5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0597" y="2145926"/>
          <a:ext cx="631963" cy="439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1:F52"/>
  <sheetViews>
    <sheetView topLeftCell="A22" zoomScaleNormal="100" workbookViewId="0">
      <selection activeCell="C50" sqref="B2:D50"/>
    </sheetView>
  </sheetViews>
  <sheetFormatPr defaultColWidth="9.140625" defaultRowHeight="12.75"/>
  <cols>
    <col min="1" max="1" width="9.140625" style="78"/>
    <col min="2" max="2" width="16.7109375" style="78" customWidth="1"/>
    <col min="3" max="3" width="52.5703125" style="78" customWidth="1"/>
    <col min="4" max="4" width="36.42578125" style="78" customWidth="1"/>
    <col min="5" max="7" width="9.140625" style="78"/>
    <col min="8" max="8" width="17.7109375" style="78" bestFit="1" customWidth="1"/>
    <col min="9" max="16384" width="9.140625" style="78"/>
  </cols>
  <sheetData>
    <row r="1" spans="2:4" ht="13.5" thickBot="1">
      <c r="B1" s="159"/>
      <c r="C1" s="159"/>
      <c r="D1" s="159"/>
    </row>
    <row r="2" spans="2:4" ht="30" customHeight="1">
      <c r="B2" s="455" t="s">
        <v>74</v>
      </c>
      <c r="C2" s="456"/>
      <c r="D2" s="457"/>
    </row>
    <row r="3" spans="2:4" ht="12.75" customHeight="1">
      <c r="B3" s="458" t="s">
        <v>32</v>
      </c>
      <c r="C3" s="459"/>
      <c r="D3" s="460"/>
    </row>
    <row r="4" spans="2:4" ht="20.25" customHeight="1">
      <c r="B4" s="458"/>
      <c r="C4" s="459"/>
      <c r="D4" s="460"/>
    </row>
    <row r="5" spans="2:4" ht="12.75" customHeight="1">
      <c r="B5" s="462" t="s">
        <v>240</v>
      </c>
      <c r="C5" s="461" t="s">
        <v>244</v>
      </c>
      <c r="D5" s="175" t="s">
        <v>458</v>
      </c>
    </row>
    <row r="6" spans="2:4" ht="14.25" customHeight="1">
      <c r="B6" s="463"/>
      <c r="C6" s="461"/>
      <c r="D6" s="176" t="s">
        <v>459</v>
      </c>
    </row>
    <row r="7" spans="2:4" ht="12.75" customHeight="1">
      <c r="B7" s="464"/>
      <c r="C7" s="461"/>
      <c r="D7" s="177" t="s">
        <v>202</v>
      </c>
    </row>
    <row r="8" spans="2:4" ht="27" customHeight="1">
      <c r="B8" s="160" t="s">
        <v>16</v>
      </c>
      <c r="C8" s="161" t="s">
        <v>0</v>
      </c>
      <c r="D8" s="162" t="s">
        <v>33</v>
      </c>
    </row>
    <row r="9" spans="2:4" ht="12.75" customHeight="1">
      <c r="B9" s="443" t="str">
        <f>'ORÇA '!A9</f>
        <v>1.0</v>
      </c>
      <c r="C9" s="452" t="str">
        <f>'ORÇA '!D9</f>
        <v>SERVIÇOS PRELIMINARES</v>
      </c>
      <c r="D9" s="448">
        <f>'ORÇA '!J13</f>
        <v>45940.32</v>
      </c>
    </row>
    <row r="10" spans="2:4" ht="14.25" customHeight="1">
      <c r="B10" s="444"/>
      <c r="C10" s="447"/>
      <c r="D10" s="449"/>
    </row>
    <row r="11" spans="2:4">
      <c r="B11" s="445"/>
      <c r="C11" s="451"/>
      <c r="D11" s="450"/>
    </row>
    <row r="12" spans="2:4" ht="12.75" customHeight="1">
      <c r="B12" s="443" t="str">
        <f>'ORÇA '!A15</f>
        <v>2.0</v>
      </c>
      <c r="C12" s="446" t="str">
        <f>'ORÇA '!D15</f>
        <v>ADMINISTRAÇÃO LOCAL</v>
      </c>
      <c r="D12" s="448">
        <f>'ORÇA '!J16</f>
        <v>26657.7</v>
      </c>
    </row>
    <row r="13" spans="2:4" ht="12.75" customHeight="1">
      <c r="B13" s="444"/>
      <c r="C13" s="447"/>
      <c r="D13" s="449"/>
    </row>
    <row r="14" spans="2:4" ht="12.75" customHeight="1">
      <c r="B14" s="445"/>
      <c r="C14" s="447"/>
      <c r="D14" s="450"/>
    </row>
    <row r="15" spans="2:4" ht="12.75" customHeight="1">
      <c r="B15" s="443" t="str">
        <f>'ORÇA '!A18</f>
        <v>3.0</v>
      </c>
      <c r="C15" s="446" t="str">
        <f>'ORÇA '!D18</f>
        <v>ENSAIOS TECNOLÓGICOS DE SOLO E ASFALTO</v>
      </c>
      <c r="D15" s="448">
        <f>'ORÇA '!J22</f>
        <v>16262.770000000002</v>
      </c>
    </row>
    <row r="16" spans="2:4" ht="12.75" customHeight="1">
      <c r="B16" s="444"/>
      <c r="C16" s="447"/>
      <c r="D16" s="449"/>
    </row>
    <row r="17" spans="2:4" ht="12.75" customHeight="1">
      <c r="B17" s="445"/>
      <c r="C17" s="451"/>
      <c r="D17" s="450"/>
    </row>
    <row r="18" spans="2:4" ht="12.75" customHeight="1">
      <c r="B18" s="443" t="str">
        <f>'ORÇA '!A24</f>
        <v>4.0</v>
      </c>
      <c r="C18" s="452" t="str">
        <f>'ORÇA '!D24</f>
        <v>TERRAPLENAGEM</v>
      </c>
      <c r="D18" s="448">
        <f>'ORÇA '!J31</f>
        <v>107183.01000000001</v>
      </c>
    </row>
    <row r="19" spans="2:4">
      <c r="B19" s="444"/>
      <c r="C19" s="447"/>
      <c r="D19" s="449"/>
    </row>
    <row r="20" spans="2:4">
      <c r="B20" s="445"/>
      <c r="C20" s="451"/>
      <c r="D20" s="450"/>
    </row>
    <row r="21" spans="2:4" ht="12.75" customHeight="1">
      <c r="B21" s="443" t="str">
        <f>'ORÇA '!A33</f>
        <v>5.0</v>
      </c>
      <c r="C21" s="452" t="str">
        <f>'ORÇA '!D33</f>
        <v>PAVIMENTAÇÃO</v>
      </c>
      <c r="D21" s="448">
        <f>'ORÇA '!J44</f>
        <v>500901.85000000009</v>
      </c>
    </row>
    <row r="22" spans="2:4">
      <c r="B22" s="444"/>
      <c r="C22" s="453"/>
      <c r="D22" s="449"/>
    </row>
    <row r="23" spans="2:4" ht="12.75" customHeight="1">
      <c r="B23" s="445"/>
      <c r="C23" s="454"/>
      <c r="D23" s="450"/>
    </row>
    <row r="24" spans="2:4" ht="12.75" customHeight="1">
      <c r="B24" s="443" t="str">
        <f>'ORÇA '!A46</f>
        <v>6.0</v>
      </c>
      <c r="C24" s="452" t="str">
        <f>'ORÇA '!D46</f>
        <v>SINALIZAÇÃO HORIZONTAL/VERTICAL</v>
      </c>
      <c r="D24" s="448">
        <f>'ORÇA '!J50</f>
        <v>13472.099999999999</v>
      </c>
    </row>
    <row r="25" spans="2:4">
      <c r="B25" s="444"/>
      <c r="C25" s="453"/>
      <c r="D25" s="449"/>
    </row>
    <row r="26" spans="2:4" ht="12.75" customHeight="1">
      <c r="B26" s="445"/>
      <c r="C26" s="454"/>
      <c r="D26" s="450"/>
    </row>
    <row r="27" spans="2:4" ht="12.75" customHeight="1">
      <c r="B27" s="443" t="str">
        <f>'ORÇA '!A52</f>
        <v>7.0</v>
      </c>
      <c r="C27" s="157"/>
      <c r="D27" s="448">
        <f>'ORÇA '!J55</f>
        <v>94251.92</v>
      </c>
    </row>
    <row r="28" spans="2:4" ht="12.75" customHeight="1">
      <c r="B28" s="444"/>
      <c r="C28" s="157" t="str">
        <f>'ORÇA '!D52</f>
        <v>OBRAS COMPLEMENTARES</v>
      </c>
      <c r="D28" s="449"/>
    </row>
    <row r="29" spans="2:4" ht="12.75" customHeight="1">
      <c r="B29" s="445"/>
      <c r="C29" s="157"/>
      <c r="D29" s="450"/>
    </row>
    <row r="30" spans="2:4" ht="12.75" hidden="1" customHeight="1">
      <c r="B30" s="443"/>
      <c r="C30" s="452"/>
      <c r="D30" s="448"/>
    </row>
    <row r="31" spans="2:4" ht="12.75" hidden="1" customHeight="1">
      <c r="B31" s="444"/>
      <c r="C31" s="447"/>
      <c r="D31" s="449"/>
    </row>
    <row r="32" spans="2:4" ht="12.75" hidden="1" customHeight="1">
      <c r="B32" s="445"/>
      <c r="C32" s="451"/>
      <c r="D32" s="450"/>
    </row>
    <row r="33" spans="2:4" ht="12.75" hidden="1" customHeight="1">
      <c r="B33" s="443"/>
      <c r="C33" s="465"/>
      <c r="D33" s="448"/>
    </row>
    <row r="34" spans="2:4" ht="12.75" hidden="1" customHeight="1">
      <c r="B34" s="444"/>
      <c r="C34" s="466"/>
      <c r="D34" s="449"/>
    </row>
    <row r="35" spans="2:4" ht="12.75" hidden="1" customHeight="1">
      <c r="B35" s="445"/>
      <c r="C35" s="467"/>
      <c r="D35" s="450"/>
    </row>
    <row r="36" spans="2:4" ht="12.75" hidden="1" customHeight="1">
      <c r="B36" s="443"/>
      <c r="C36" s="465"/>
      <c r="D36" s="448"/>
    </row>
    <row r="37" spans="2:4" ht="12.75" hidden="1" customHeight="1">
      <c r="B37" s="444"/>
      <c r="C37" s="466"/>
      <c r="D37" s="449"/>
    </row>
    <row r="38" spans="2:4" ht="12.75" hidden="1" customHeight="1">
      <c r="B38" s="445"/>
      <c r="C38" s="467"/>
      <c r="D38" s="450"/>
    </row>
    <row r="39" spans="2:4" ht="12.75" customHeight="1">
      <c r="B39" s="443"/>
      <c r="C39" s="452"/>
      <c r="D39" s="448"/>
    </row>
    <row r="40" spans="2:4" ht="12.75" customHeight="1">
      <c r="B40" s="444"/>
      <c r="C40" s="447"/>
      <c r="D40" s="449"/>
    </row>
    <row r="41" spans="2:4" ht="12.75" customHeight="1">
      <c r="B41" s="445"/>
      <c r="C41" s="451"/>
      <c r="D41" s="450"/>
    </row>
    <row r="42" spans="2:4">
      <c r="B42" s="470" t="s">
        <v>35</v>
      </c>
      <c r="C42" s="471"/>
      <c r="D42" s="163"/>
    </row>
    <row r="43" spans="2:4" ht="15.75">
      <c r="B43" s="472"/>
      <c r="C43" s="473"/>
      <c r="D43" s="164">
        <f>SUM(D9:D41)</f>
        <v>804669.67000000016</v>
      </c>
    </row>
    <row r="44" spans="2:4" ht="15" customHeight="1">
      <c r="B44" s="474"/>
      <c r="C44" s="475"/>
      <c r="D44" s="165"/>
    </row>
    <row r="45" spans="2:4" ht="15" customHeight="1">
      <c r="B45" s="476" t="s">
        <v>45</v>
      </c>
      <c r="C45" s="477"/>
      <c r="D45" s="166">
        <f>'TERRAP E PAVIM'!I24</f>
        <v>5754</v>
      </c>
    </row>
    <row r="46" spans="2:4">
      <c r="B46" s="476" t="s">
        <v>73</v>
      </c>
      <c r="C46" s="477"/>
      <c r="D46" s="167">
        <f>D43/D45</f>
        <v>139.84526763990272</v>
      </c>
    </row>
    <row r="47" spans="2:4" ht="16.5" customHeight="1">
      <c r="B47" s="173" t="s">
        <v>209</v>
      </c>
      <c r="C47" s="158"/>
      <c r="D47" s="168">
        <f>D43/('ORÇA '!I6/1000)</f>
        <v>978916.87347931904</v>
      </c>
    </row>
    <row r="48" spans="2:4" s="169" customFormat="1" ht="20.100000000000001" customHeight="1">
      <c r="B48" s="174" t="s">
        <v>470</v>
      </c>
      <c r="C48" s="478" t="s">
        <v>471</v>
      </c>
      <c r="D48" s="479"/>
    </row>
    <row r="49" spans="2:6" s="169" customFormat="1" ht="20.100000000000001" customHeight="1">
      <c r="B49" s="431" t="s">
        <v>186</v>
      </c>
      <c r="C49" s="480" t="s">
        <v>472</v>
      </c>
      <c r="D49" s="481"/>
      <c r="F49" s="170"/>
    </row>
    <row r="50" spans="2:6" s="169" customFormat="1" ht="20.100000000000001" customHeight="1" thickBot="1">
      <c r="B50" s="171" t="s">
        <v>40</v>
      </c>
      <c r="C50" s="468" t="s">
        <v>184</v>
      </c>
      <c r="D50" s="469"/>
    </row>
    <row r="52" spans="2:6" ht="15.75">
      <c r="B52" s="172"/>
    </row>
  </sheetData>
  <mergeCells count="42">
    <mergeCell ref="D36:D38"/>
    <mergeCell ref="D39:D41"/>
    <mergeCell ref="D18:D20"/>
    <mergeCell ref="D21:D23"/>
    <mergeCell ref="D24:D26"/>
    <mergeCell ref="D27:D29"/>
    <mergeCell ref="D30:D32"/>
    <mergeCell ref="D33:D35"/>
    <mergeCell ref="C50:D50"/>
    <mergeCell ref="B42:C44"/>
    <mergeCell ref="B45:C45"/>
    <mergeCell ref="B46:C46"/>
    <mergeCell ref="C48:D48"/>
    <mergeCell ref="C49:D49"/>
    <mergeCell ref="B33:B35"/>
    <mergeCell ref="C33:C35"/>
    <mergeCell ref="B36:B38"/>
    <mergeCell ref="C36:C38"/>
    <mergeCell ref="B39:B41"/>
    <mergeCell ref="C39:C41"/>
    <mergeCell ref="B2:D2"/>
    <mergeCell ref="B3:D4"/>
    <mergeCell ref="C5:C7"/>
    <mergeCell ref="B5:B7"/>
    <mergeCell ref="B9:B11"/>
    <mergeCell ref="C9:C11"/>
    <mergeCell ref="D9:D11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12:B14"/>
    <mergeCell ref="C12:C14"/>
    <mergeCell ref="D12:D14"/>
    <mergeCell ref="B15:B17"/>
    <mergeCell ref="C15:C17"/>
    <mergeCell ref="D15:D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8" zoomScale="85" zoomScaleNormal="85" workbookViewId="0">
      <selection activeCell="H58" sqref="H58"/>
    </sheetView>
  </sheetViews>
  <sheetFormatPr defaultRowHeight="12.75"/>
  <cols>
    <col min="1" max="1" width="49.85546875" customWidth="1"/>
    <col min="2" max="2" width="25.7109375" customWidth="1"/>
    <col min="3" max="3" width="15.7109375" customWidth="1"/>
    <col min="4" max="4" width="14.7109375" bestFit="1" customWidth="1"/>
    <col min="5" max="5" width="11.85546875" bestFit="1" customWidth="1"/>
    <col min="6" max="6" width="16.7109375" bestFit="1" customWidth="1"/>
    <col min="7" max="7" width="40.28515625" style="310" customWidth="1"/>
    <col min="8" max="8" width="25.7109375" customWidth="1"/>
    <col min="9" max="9" width="15.7109375" customWidth="1"/>
    <col min="10" max="10" width="18.7109375" customWidth="1"/>
    <col min="11" max="11" width="27.42578125" customWidth="1"/>
    <col min="12" max="12" width="14.42578125" bestFit="1" customWidth="1"/>
    <col min="257" max="257" width="49.85546875" customWidth="1"/>
    <col min="258" max="258" width="25.7109375" customWidth="1"/>
    <col min="259" max="259" width="15.7109375" customWidth="1"/>
    <col min="260" max="260" width="14.7109375" bestFit="1" customWidth="1"/>
    <col min="261" max="261" width="11.85546875" bestFit="1" customWidth="1"/>
    <col min="262" max="262" width="16.7109375" bestFit="1" customWidth="1"/>
    <col min="263" max="263" width="40.28515625" customWidth="1"/>
    <col min="264" max="264" width="25.7109375" customWidth="1"/>
    <col min="265" max="265" width="15.7109375" customWidth="1"/>
    <col min="266" max="266" width="18.7109375" customWidth="1"/>
    <col min="267" max="267" width="27.42578125" customWidth="1"/>
    <col min="268" max="268" width="14.42578125" bestFit="1" customWidth="1"/>
    <col min="513" max="513" width="49.85546875" customWidth="1"/>
    <col min="514" max="514" width="25.7109375" customWidth="1"/>
    <col min="515" max="515" width="15.7109375" customWidth="1"/>
    <col min="516" max="516" width="14.7109375" bestFit="1" customWidth="1"/>
    <col min="517" max="517" width="11.85546875" bestFit="1" customWidth="1"/>
    <col min="518" max="518" width="16.7109375" bestFit="1" customWidth="1"/>
    <col min="519" max="519" width="40.28515625" customWidth="1"/>
    <col min="520" max="520" width="25.7109375" customWidth="1"/>
    <col min="521" max="521" width="15.7109375" customWidth="1"/>
    <col min="522" max="522" width="18.7109375" customWidth="1"/>
    <col min="523" max="523" width="27.42578125" customWidth="1"/>
    <col min="524" max="524" width="14.42578125" bestFit="1" customWidth="1"/>
    <col min="769" max="769" width="49.85546875" customWidth="1"/>
    <col min="770" max="770" width="25.7109375" customWidth="1"/>
    <col min="771" max="771" width="15.7109375" customWidth="1"/>
    <col min="772" max="772" width="14.7109375" bestFit="1" customWidth="1"/>
    <col min="773" max="773" width="11.85546875" bestFit="1" customWidth="1"/>
    <col min="774" max="774" width="16.7109375" bestFit="1" customWidth="1"/>
    <col min="775" max="775" width="40.28515625" customWidth="1"/>
    <col min="776" max="776" width="25.7109375" customWidth="1"/>
    <col min="777" max="777" width="15.7109375" customWidth="1"/>
    <col min="778" max="778" width="18.7109375" customWidth="1"/>
    <col min="779" max="779" width="27.42578125" customWidth="1"/>
    <col min="780" max="780" width="14.42578125" bestFit="1" customWidth="1"/>
    <col min="1025" max="1025" width="49.85546875" customWidth="1"/>
    <col min="1026" max="1026" width="25.7109375" customWidth="1"/>
    <col min="1027" max="1027" width="15.7109375" customWidth="1"/>
    <col min="1028" max="1028" width="14.7109375" bestFit="1" customWidth="1"/>
    <col min="1029" max="1029" width="11.85546875" bestFit="1" customWidth="1"/>
    <col min="1030" max="1030" width="16.7109375" bestFit="1" customWidth="1"/>
    <col min="1031" max="1031" width="40.28515625" customWidth="1"/>
    <col min="1032" max="1032" width="25.7109375" customWidth="1"/>
    <col min="1033" max="1033" width="15.7109375" customWidth="1"/>
    <col min="1034" max="1034" width="18.7109375" customWidth="1"/>
    <col min="1035" max="1035" width="27.42578125" customWidth="1"/>
    <col min="1036" max="1036" width="14.42578125" bestFit="1" customWidth="1"/>
    <col min="1281" max="1281" width="49.85546875" customWidth="1"/>
    <col min="1282" max="1282" width="25.7109375" customWidth="1"/>
    <col min="1283" max="1283" width="15.7109375" customWidth="1"/>
    <col min="1284" max="1284" width="14.7109375" bestFit="1" customWidth="1"/>
    <col min="1285" max="1285" width="11.85546875" bestFit="1" customWidth="1"/>
    <col min="1286" max="1286" width="16.7109375" bestFit="1" customWidth="1"/>
    <col min="1287" max="1287" width="40.28515625" customWidth="1"/>
    <col min="1288" max="1288" width="25.7109375" customWidth="1"/>
    <col min="1289" max="1289" width="15.7109375" customWidth="1"/>
    <col min="1290" max="1290" width="18.7109375" customWidth="1"/>
    <col min="1291" max="1291" width="27.42578125" customWidth="1"/>
    <col min="1292" max="1292" width="14.42578125" bestFit="1" customWidth="1"/>
    <col min="1537" max="1537" width="49.85546875" customWidth="1"/>
    <col min="1538" max="1538" width="25.7109375" customWidth="1"/>
    <col min="1539" max="1539" width="15.7109375" customWidth="1"/>
    <col min="1540" max="1540" width="14.7109375" bestFit="1" customWidth="1"/>
    <col min="1541" max="1541" width="11.85546875" bestFit="1" customWidth="1"/>
    <col min="1542" max="1542" width="16.7109375" bestFit="1" customWidth="1"/>
    <col min="1543" max="1543" width="40.28515625" customWidth="1"/>
    <col min="1544" max="1544" width="25.7109375" customWidth="1"/>
    <col min="1545" max="1545" width="15.7109375" customWidth="1"/>
    <col min="1546" max="1546" width="18.7109375" customWidth="1"/>
    <col min="1547" max="1547" width="27.42578125" customWidth="1"/>
    <col min="1548" max="1548" width="14.42578125" bestFit="1" customWidth="1"/>
    <col min="1793" max="1793" width="49.85546875" customWidth="1"/>
    <col min="1794" max="1794" width="25.7109375" customWidth="1"/>
    <col min="1795" max="1795" width="15.7109375" customWidth="1"/>
    <col min="1796" max="1796" width="14.7109375" bestFit="1" customWidth="1"/>
    <col min="1797" max="1797" width="11.85546875" bestFit="1" customWidth="1"/>
    <col min="1798" max="1798" width="16.7109375" bestFit="1" customWidth="1"/>
    <col min="1799" max="1799" width="40.28515625" customWidth="1"/>
    <col min="1800" max="1800" width="25.7109375" customWidth="1"/>
    <col min="1801" max="1801" width="15.7109375" customWidth="1"/>
    <col min="1802" max="1802" width="18.7109375" customWidth="1"/>
    <col min="1803" max="1803" width="27.42578125" customWidth="1"/>
    <col min="1804" max="1804" width="14.42578125" bestFit="1" customWidth="1"/>
    <col min="2049" max="2049" width="49.85546875" customWidth="1"/>
    <col min="2050" max="2050" width="25.7109375" customWidth="1"/>
    <col min="2051" max="2051" width="15.7109375" customWidth="1"/>
    <col min="2052" max="2052" width="14.7109375" bestFit="1" customWidth="1"/>
    <col min="2053" max="2053" width="11.85546875" bestFit="1" customWidth="1"/>
    <col min="2054" max="2054" width="16.7109375" bestFit="1" customWidth="1"/>
    <col min="2055" max="2055" width="40.28515625" customWidth="1"/>
    <col min="2056" max="2056" width="25.7109375" customWidth="1"/>
    <col min="2057" max="2057" width="15.7109375" customWidth="1"/>
    <col min="2058" max="2058" width="18.7109375" customWidth="1"/>
    <col min="2059" max="2059" width="27.42578125" customWidth="1"/>
    <col min="2060" max="2060" width="14.42578125" bestFit="1" customWidth="1"/>
    <col min="2305" max="2305" width="49.85546875" customWidth="1"/>
    <col min="2306" max="2306" width="25.7109375" customWidth="1"/>
    <col min="2307" max="2307" width="15.7109375" customWidth="1"/>
    <col min="2308" max="2308" width="14.7109375" bestFit="1" customWidth="1"/>
    <col min="2309" max="2309" width="11.85546875" bestFit="1" customWidth="1"/>
    <col min="2310" max="2310" width="16.7109375" bestFit="1" customWidth="1"/>
    <col min="2311" max="2311" width="40.28515625" customWidth="1"/>
    <col min="2312" max="2312" width="25.7109375" customWidth="1"/>
    <col min="2313" max="2313" width="15.7109375" customWidth="1"/>
    <col min="2314" max="2314" width="18.7109375" customWidth="1"/>
    <col min="2315" max="2315" width="27.42578125" customWidth="1"/>
    <col min="2316" max="2316" width="14.42578125" bestFit="1" customWidth="1"/>
    <col min="2561" max="2561" width="49.85546875" customWidth="1"/>
    <col min="2562" max="2562" width="25.7109375" customWidth="1"/>
    <col min="2563" max="2563" width="15.7109375" customWidth="1"/>
    <col min="2564" max="2564" width="14.7109375" bestFit="1" customWidth="1"/>
    <col min="2565" max="2565" width="11.85546875" bestFit="1" customWidth="1"/>
    <col min="2566" max="2566" width="16.7109375" bestFit="1" customWidth="1"/>
    <col min="2567" max="2567" width="40.28515625" customWidth="1"/>
    <col min="2568" max="2568" width="25.7109375" customWidth="1"/>
    <col min="2569" max="2569" width="15.7109375" customWidth="1"/>
    <col min="2570" max="2570" width="18.7109375" customWidth="1"/>
    <col min="2571" max="2571" width="27.42578125" customWidth="1"/>
    <col min="2572" max="2572" width="14.42578125" bestFit="1" customWidth="1"/>
    <col min="2817" max="2817" width="49.85546875" customWidth="1"/>
    <col min="2818" max="2818" width="25.7109375" customWidth="1"/>
    <col min="2819" max="2819" width="15.7109375" customWidth="1"/>
    <col min="2820" max="2820" width="14.7109375" bestFit="1" customWidth="1"/>
    <col min="2821" max="2821" width="11.85546875" bestFit="1" customWidth="1"/>
    <col min="2822" max="2822" width="16.7109375" bestFit="1" customWidth="1"/>
    <col min="2823" max="2823" width="40.28515625" customWidth="1"/>
    <col min="2824" max="2824" width="25.7109375" customWidth="1"/>
    <col min="2825" max="2825" width="15.7109375" customWidth="1"/>
    <col min="2826" max="2826" width="18.7109375" customWidth="1"/>
    <col min="2827" max="2827" width="27.42578125" customWidth="1"/>
    <col min="2828" max="2828" width="14.42578125" bestFit="1" customWidth="1"/>
    <col min="3073" max="3073" width="49.85546875" customWidth="1"/>
    <col min="3074" max="3074" width="25.7109375" customWidth="1"/>
    <col min="3075" max="3075" width="15.7109375" customWidth="1"/>
    <col min="3076" max="3076" width="14.7109375" bestFit="1" customWidth="1"/>
    <col min="3077" max="3077" width="11.85546875" bestFit="1" customWidth="1"/>
    <col min="3078" max="3078" width="16.7109375" bestFit="1" customWidth="1"/>
    <col min="3079" max="3079" width="40.28515625" customWidth="1"/>
    <col min="3080" max="3080" width="25.7109375" customWidth="1"/>
    <col min="3081" max="3081" width="15.7109375" customWidth="1"/>
    <col min="3082" max="3082" width="18.7109375" customWidth="1"/>
    <col min="3083" max="3083" width="27.42578125" customWidth="1"/>
    <col min="3084" max="3084" width="14.42578125" bestFit="1" customWidth="1"/>
    <col min="3329" max="3329" width="49.85546875" customWidth="1"/>
    <col min="3330" max="3330" width="25.7109375" customWidth="1"/>
    <col min="3331" max="3331" width="15.7109375" customWidth="1"/>
    <col min="3332" max="3332" width="14.7109375" bestFit="1" customWidth="1"/>
    <col min="3333" max="3333" width="11.85546875" bestFit="1" customWidth="1"/>
    <col min="3334" max="3334" width="16.7109375" bestFit="1" customWidth="1"/>
    <col min="3335" max="3335" width="40.28515625" customWidth="1"/>
    <col min="3336" max="3336" width="25.7109375" customWidth="1"/>
    <col min="3337" max="3337" width="15.7109375" customWidth="1"/>
    <col min="3338" max="3338" width="18.7109375" customWidth="1"/>
    <col min="3339" max="3339" width="27.42578125" customWidth="1"/>
    <col min="3340" max="3340" width="14.42578125" bestFit="1" customWidth="1"/>
    <col min="3585" max="3585" width="49.85546875" customWidth="1"/>
    <col min="3586" max="3586" width="25.7109375" customWidth="1"/>
    <col min="3587" max="3587" width="15.7109375" customWidth="1"/>
    <col min="3588" max="3588" width="14.7109375" bestFit="1" customWidth="1"/>
    <col min="3589" max="3589" width="11.85546875" bestFit="1" customWidth="1"/>
    <col min="3590" max="3590" width="16.7109375" bestFit="1" customWidth="1"/>
    <col min="3591" max="3591" width="40.28515625" customWidth="1"/>
    <col min="3592" max="3592" width="25.7109375" customWidth="1"/>
    <col min="3593" max="3593" width="15.7109375" customWidth="1"/>
    <col min="3594" max="3594" width="18.7109375" customWidth="1"/>
    <col min="3595" max="3595" width="27.42578125" customWidth="1"/>
    <col min="3596" max="3596" width="14.42578125" bestFit="1" customWidth="1"/>
    <col min="3841" max="3841" width="49.85546875" customWidth="1"/>
    <col min="3842" max="3842" width="25.7109375" customWidth="1"/>
    <col min="3843" max="3843" width="15.7109375" customWidth="1"/>
    <col min="3844" max="3844" width="14.7109375" bestFit="1" customWidth="1"/>
    <col min="3845" max="3845" width="11.85546875" bestFit="1" customWidth="1"/>
    <col min="3846" max="3846" width="16.7109375" bestFit="1" customWidth="1"/>
    <col min="3847" max="3847" width="40.28515625" customWidth="1"/>
    <col min="3848" max="3848" width="25.7109375" customWidth="1"/>
    <col min="3849" max="3849" width="15.7109375" customWidth="1"/>
    <col min="3850" max="3850" width="18.7109375" customWidth="1"/>
    <col min="3851" max="3851" width="27.42578125" customWidth="1"/>
    <col min="3852" max="3852" width="14.42578125" bestFit="1" customWidth="1"/>
    <col min="4097" max="4097" width="49.85546875" customWidth="1"/>
    <col min="4098" max="4098" width="25.7109375" customWidth="1"/>
    <col min="4099" max="4099" width="15.7109375" customWidth="1"/>
    <col min="4100" max="4100" width="14.7109375" bestFit="1" customWidth="1"/>
    <col min="4101" max="4101" width="11.85546875" bestFit="1" customWidth="1"/>
    <col min="4102" max="4102" width="16.7109375" bestFit="1" customWidth="1"/>
    <col min="4103" max="4103" width="40.28515625" customWidth="1"/>
    <col min="4104" max="4104" width="25.7109375" customWidth="1"/>
    <col min="4105" max="4105" width="15.7109375" customWidth="1"/>
    <col min="4106" max="4106" width="18.7109375" customWidth="1"/>
    <col min="4107" max="4107" width="27.42578125" customWidth="1"/>
    <col min="4108" max="4108" width="14.42578125" bestFit="1" customWidth="1"/>
    <col min="4353" max="4353" width="49.85546875" customWidth="1"/>
    <col min="4354" max="4354" width="25.7109375" customWidth="1"/>
    <col min="4355" max="4355" width="15.7109375" customWidth="1"/>
    <col min="4356" max="4356" width="14.7109375" bestFit="1" customWidth="1"/>
    <col min="4357" max="4357" width="11.85546875" bestFit="1" customWidth="1"/>
    <col min="4358" max="4358" width="16.7109375" bestFit="1" customWidth="1"/>
    <col min="4359" max="4359" width="40.28515625" customWidth="1"/>
    <col min="4360" max="4360" width="25.7109375" customWidth="1"/>
    <col min="4361" max="4361" width="15.7109375" customWidth="1"/>
    <col min="4362" max="4362" width="18.7109375" customWidth="1"/>
    <col min="4363" max="4363" width="27.42578125" customWidth="1"/>
    <col min="4364" max="4364" width="14.42578125" bestFit="1" customWidth="1"/>
    <col min="4609" max="4609" width="49.85546875" customWidth="1"/>
    <col min="4610" max="4610" width="25.7109375" customWidth="1"/>
    <col min="4611" max="4611" width="15.7109375" customWidth="1"/>
    <col min="4612" max="4612" width="14.7109375" bestFit="1" customWidth="1"/>
    <col min="4613" max="4613" width="11.85546875" bestFit="1" customWidth="1"/>
    <col min="4614" max="4614" width="16.7109375" bestFit="1" customWidth="1"/>
    <col min="4615" max="4615" width="40.28515625" customWidth="1"/>
    <col min="4616" max="4616" width="25.7109375" customWidth="1"/>
    <col min="4617" max="4617" width="15.7109375" customWidth="1"/>
    <col min="4618" max="4618" width="18.7109375" customWidth="1"/>
    <col min="4619" max="4619" width="27.42578125" customWidth="1"/>
    <col min="4620" max="4620" width="14.42578125" bestFit="1" customWidth="1"/>
    <col min="4865" max="4865" width="49.85546875" customWidth="1"/>
    <col min="4866" max="4866" width="25.7109375" customWidth="1"/>
    <col min="4867" max="4867" width="15.7109375" customWidth="1"/>
    <col min="4868" max="4868" width="14.7109375" bestFit="1" customWidth="1"/>
    <col min="4869" max="4869" width="11.85546875" bestFit="1" customWidth="1"/>
    <col min="4870" max="4870" width="16.7109375" bestFit="1" customWidth="1"/>
    <col min="4871" max="4871" width="40.28515625" customWidth="1"/>
    <col min="4872" max="4872" width="25.7109375" customWidth="1"/>
    <col min="4873" max="4873" width="15.7109375" customWidth="1"/>
    <col min="4874" max="4874" width="18.7109375" customWidth="1"/>
    <col min="4875" max="4875" width="27.42578125" customWidth="1"/>
    <col min="4876" max="4876" width="14.42578125" bestFit="1" customWidth="1"/>
    <col min="5121" max="5121" width="49.85546875" customWidth="1"/>
    <col min="5122" max="5122" width="25.7109375" customWidth="1"/>
    <col min="5123" max="5123" width="15.7109375" customWidth="1"/>
    <col min="5124" max="5124" width="14.7109375" bestFit="1" customWidth="1"/>
    <col min="5125" max="5125" width="11.85546875" bestFit="1" customWidth="1"/>
    <col min="5126" max="5126" width="16.7109375" bestFit="1" customWidth="1"/>
    <col min="5127" max="5127" width="40.28515625" customWidth="1"/>
    <col min="5128" max="5128" width="25.7109375" customWidth="1"/>
    <col min="5129" max="5129" width="15.7109375" customWidth="1"/>
    <col min="5130" max="5130" width="18.7109375" customWidth="1"/>
    <col min="5131" max="5131" width="27.42578125" customWidth="1"/>
    <col min="5132" max="5132" width="14.42578125" bestFit="1" customWidth="1"/>
    <col min="5377" max="5377" width="49.85546875" customWidth="1"/>
    <col min="5378" max="5378" width="25.7109375" customWidth="1"/>
    <col min="5379" max="5379" width="15.7109375" customWidth="1"/>
    <col min="5380" max="5380" width="14.7109375" bestFit="1" customWidth="1"/>
    <col min="5381" max="5381" width="11.85546875" bestFit="1" customWidth="1"/>
    <col min="5382" max="5382" width="16.7109375" bestFit="1" customWidth="1"/>
    <col min="5383" max="5383" width="40.28515625" customWidth="1"/>
    <col min="5384" max="5384" width="25.7109375" customWidth="1"/>
    <col min="5385" max="5385" width="15.7109375" customWidth="1"/>
    <col min="5386" max="5386" width="18.7109375" customWidth="1"/>
    <col min="5387" max="5387" width="27.42578125" customWidth="1"/>
    <col min="5388" max="5388" width="14.42578125" bestFit="1" customWidth="1"/>
    <col min="5633" max="5633" width="49.85546875" customWidth="1"/>
    <col min="5634" max="5634" width="25.7109375" customWidth="1"/>
    <col min="5635" max="5635" width="15.7109375" customWidth="1"/>
    <col min="5636" max="5636" width="14.7109375" bestFit="1" customWidth="1"/>
    <col min="5637" max="5637" width="11.85546875" bestFit="1" customWidth="1"/>
    <col min="5638" max="5638" width="16.7109375" bestFit="1" customWidth="1"/>
    <col min="5639" max="5639" width="40.28515625" customWidth="1"/>
    <col min="5640" max="5640" width="25.7109375" customWidth="1"/>
    <col min="5641" max="5641" width="15.7109375" customWidth="1"/>
    <col min="5642" max="5642" width="18.7109375" customWidth="1"/>
    <col min="5643" max="5643" width="27.42578125" customWidth="1"/>
    <col min="5644" max="5644" width="14.42578125" bestFit="1" customWidth="1"/>
    <col min="5889" max="5889" width="49.85546875" customWidth="1"/>
    <col min="5890" max="5890" width="25.7109375" customWidth="1"/>
    <col min="5891" max="5891" width="15.7109375" customWidth="1"/>
    <col min="5892" max="5892" width="14.7109375" bestFit="1" customWidth="1"/>
    <col min="5893" max="5893" width="11.85546875" bestFit="1" customWidth="1"/>
    <col min="5894" max="5894" width="16.7109375" bestFit="1" customWidth="1"/>
    <col min="5895" max="5895" width="40.28515625" customWidth="1"/>
    <col min="5896" max="5896" width="25.7109375" customWidth="1"/>
    <col min="5897" max="5897" width="15.7109375" customWidth="1"/>
    <col min="5898" max="5898" width="18.7109375" customWidth="1"/>
    <col min="5899" max="5899" width="27.42578125" customWidth="1"/>
    <col min="5900" max="5900" width="14.42578125" bestFit="1" customWidth="1"/>
    <col min="6145" max="6145" width="49.85546875" customWidth="1"/>
    <col min="6146" max="6146" width="25.7109375" customWidth="1"/>
    <col min="6147" max="6147" width="15.7109375" customWidth="1"/>
    <col min="6148" max="6148" width="14.7109375" bestFit="1" customWidth="1"/>
    <col min="6149" max="6149" width="11.85546875" bestFit="1" customWidth="1"/>
    <col min="6150" max="6150" width="16.7109375" bestFit="1" customWidth="1"/>
    <col min="6151" max="6151" width="40.28515625" customWidth="1"/>
    <col min="6152" max="6152" width="25.7109375" customWidth="1"/>
    <col min="6153" max="6153" width="15.7109375" customWidth="1"/>
    <col min="6154" max="6154" width="18.7109375" customWidth="1"/>
    <col min="6155" max="6155" width="27.42578125" customWidth="1"/>
    <col min="6156" max="6156" width="14.42578125" bestFit="1" customWidth="1"/>
    <col min="6401" max="6401" width="49.85546875" customWidth="1"/>
    <col min="6402" max="6402" width="25.7109375" customWidth="1"/>
    <col min="6403" max="6403" width="15.7109375" customWidth="1"/>
    <col min="6404" max="6404" width="14.7109375" bestFit="1" customWidth="1"/>
    <col min="6405" max="6405" width="11.85546875" bestFit="1" customWidth="1"/>
    <col min="6406" max="6406" width="16.7109375" bestFit="1" customWidth="1"/>
    <col min="6407" max="6407" width="40.28515625" customWidth="1"/>
    <col min="6408" max="6408" width="25.7109375" customWidth="1"/>
    <col min="6409" max="6409" width="15.7109375" customWidth="1"/>
    <col min="6410" max="6410" width="18.7109375" customWidth="1"/>
    <col min="6411" max="6411" width="27.42578125" customWidth="1"/>
    <col min="6412" max="6412" width="14.42578125" bestFit="1" customWidth="1"/>
    <col min="6657" max="6657" width="49.85546875" customWidth="1"/>
    <col min="6658" max="6658" width="25.7109375" customWidth="1"/>
    <col min="6659" max="6659" width="15.7109375" customWidth="1"/>
    <col min="6660" max="6660" width="14.7109375" bestFit="1" customWidth="1"/>
    <col min="6661" max="6661" width="11.85546875" bestFit="1" customWidth="1"/>
    <col min="6662" max="6662" width="16.7109375" bestFit="1" customWidth="1"/>
    <col min="6663" max="6663" width="40.28515625" customWidth="1"/>
    <col min="6664" max="6664" width="25.7109375" customWidth="1"/>
    <col min="6665" max="6665" width="15.7109375" customWidth="1"/>
    <col min="6666" max="6666" width="18.7109375" customWidth="1"/>
    <col min="6667" max="6667" width="27.42578125" customWidth="1"/>
    <col min="6668" max="6668" width="14.42578125" bestFit="1" customWidth="1"/>
    <col min="6913" max="6913" width="49.85546875" customWidth="1"/>
    <col min="6914" max="6914" width="25.7109375" customWidth="1"/>
    <col min="6915" max="6915" width="15.7109375" customWidth="1"/>
    <col min="6916" max="6916" width="14.7109375" bestFit="1" customWidth="1"/>
    <col min="6917" max="6917" width="11.85546875" bestFit="1" customWidth="1"/>
    <col min="6918" max="6918" width="16.7109375" bestFit="1" customWidth="1"/>
    <col min="6919" max="6919" width="40.28515625" customWidth="1"/>
    <col min="6920" max="6920" width="25.7109375" customWidth="1"/>
    <col min="6921" max="6921" width="15.7109375" customWidth="1"/>
    <col min="6922" max="6922" width="18.7109375" customWidth="1"/>
    <col min="6923" max="6923" width="27.42578125" customWidth="1"/>
    <col min="6924" max="6924" width="14.42578125" bestFit="1" customWidth="1"/>
    <col min="7169" max="7169" width="49.85546875" customWidth="1"/>
    <col min="7170" max="7170" width="25.7109375" customWidth="1"/>
    <col min="7171" max="7171" width="15.7109375" customWidth="1"/>
    <col min="7172" max="7172" width="14.7109375" bestFit="1" customWidth="1"/>
    <col min="7173" max="7173" width="11.85546875" bestFit="1" customWidth="1"/>
    <col min="7174" max="7174" width="16.7109375" bestFit="1" customWidth="1"/>
    <col min="7175" max="7175" width="40.28515625" customWidth="1"/>
    <col min="7176" max="7176" width="25.7109375" customWidth="1"/>
    <col min="7177" max="7177" width="15.7109375" customWidth="1"/>
    <col min="7178" max="7178" width="18.7109375" customWidth="1"/>
    <col min="7179" max="7179" width="27.42578125" customWidth="1"/>
    <col min="7180" max="7180" width="14.42578125" bestFit="1" customWidth="1"/>
    <col min="7425" max="7425" width="49.85546875" customWidth="1"/>
    <col min="7426" max="7426" width="25.7109375" customWidth="1"/>
    <col min="7427" max="7427" width="15.7109375" customWidth="1"/>
    <col min="7428" max="7428" width="14.7109375" bestFit="1" customWidth="1"/>
    <col min="7429" max="7429" width="11.85546875" bestFit="1" customWidth="1"/>
    <col min="7430" max="7430" width="16.7109375" bestFit="1" customWidth="1"/>
    <col min="7431" max="7431" width="40.28515625" customWidth="1"/>
    <col min="7432" max="7432" width="25.7109375" customWidth="1"/>
    <col min="7433" max="7433" width="15.7109375" customWidth="1"/>
    <col min="7434" max="7434" width="18.7109375" customWidth="1"/>
    <col min="7435" max="7435" width="27.42578125" customWidth="1"/>
    <col min="7436" max="7436" width="14.42578125" bestFit="1" customWidth="1"/>
    <col min="7681" max="7681" width="49.85546875" customWidth="1"/>
    <col min="7682" max="7682" width="25.7109375" customWidth="1"/>
    <col min="7683" max="7683" width="15.7109375" customWidth="1"/>
    <col min="7684" max="7684" width="14.7109375" bestFit="1" customWidth="1"/>
    <col min="7685" max="7685" width="11.85546875" bestFit="1" customWidth="1"/>
    <col min="7686" max="7686" width="16.7109375" bestFit="1" customWidth="1"/>
    <col min="7687" max="7687" width="40.28515625" customWidth="1"/>
    <col min="7688" max="7688" width="25.7109375" customWidth="1"/>
    <col min="7689" max="7689" width="15.7109375" customWidth="1"/>
    <col min="7690" max="7690" width="18.7109375" customWidth="1"/>
    <col min="7691" max="7691" width="27.42578125" customWidth="1"/>
    <col min="7692" max="7692" width="14.42578125" bestFit="1" customWidth="1"/>
    <col min="7937" max="7937" width="49.85546875" customWidth="1"/>
    <col min="7938" max="7938" width="25.7109375" customWidth="1"/>
    <col min="7939" max="7939" width="15.7109375" customWidth="1"/>
    <col min="7940" max="7940" width="14.7109375" bestFit="1" customWidth="1"/>
    <col min="7941" max="7941" width="11.85546875" bestFit="1" customWidth="1"/>
    <col min="7942" max="7942" width="16.7109375" bestFit="1" customWidth="1"/>
    <col min="7943" max="7943" width="40.28515625" customWidth="1"/>
    <col min="7944" max="7944" width="25.7109375" customWidth="1"/>
    <col min="7945" max="7945" width="15.7109375" customWidth="1"/>
    <col min="7946" max="7946" width="18.7109375" customWidth="1"/>
    <col min="7947" max="7947" width="27.42578125" customWidth="1"/>
    <col min="7948" max="7948" width="14.42578125" bestFit="1" customWidth="1"/>
    <col min="8193" max="8193" width="49.85546875" customWidth="1"/>
    <col min="8194" max="8194" width="25.7109375" customWidth="1"/>
    <col min="8195" max="8195" width="15.7109375" customWidth="1"/>
    <col min="8196" max="8196" width="14.7109375" bestFit="1" customWidth="1"/>
    <col min="8197" max="8197" width="11.85546875" bestFit="1" customWidth="1"/>
    <col min="8198" max="8198" width="16.7109375" bestFit="1" customWidth="1"/>
    <col min="8199" max="8199" width="40.28515625" customWidth="1"/>
    <col min="8200" max="8200" width="25.7109375" customWidth="1"/>
    <col min="8201" max="8201" width="15.7109375" customWidth="1"/>
    <col min="8202" max="8202" width="18.7109375" customWidth="1"/>
    <col min="8203" max="8203" width="27.42578125" customWidth="1"/>
    <col min="8204" max="8204" width="14.42578125" bestFit="1" customWidth="1"/>
    <col min="8449" max="8449" width="49.85546875" customWidth="1"/>
    <col min="8450" max="8450" width="25.7109375" customWidth="1"/>
    <col min="8451" max="8451" width="15.7109375" customWidth="1"/>
    <col min="8452" max="8452" width="14.7109375" bestFit="1" customWidth="1"/>
    <col min="8453" max="8453" width="11.85546875" bestFit="1" customWidth="1"/>
    <col min="8454" max="8454" width="16.7109375" bestFit="1" customWidth="1"/>
    <col min="8455" max="8455" width="40.28515625" customWidth="1"/>
    <col min="8456" max="8456" width="25.7109375" customWidth="1"/>
    <col min="8457" max="8457" width="15.7109375" customWidth="1"/>
    <col min="8458" max="8458" width="18.7109375" customWidth="1"/>
    <col min="8459" max="8459" width="27.42578125" customWidth="1"/>
    <col min="8460" max="8460" width="14.42578125" bestFit="1" customWidth="1"/>
    <col min="8705" max="8705" width="49.85546875" customWidth="1"/>
    <col min="8706" max="8706" width="25.7109375" customWidth="1"/>
    <col min="8707" max="8707" width="15.7109375" customWidth="1"/>
    <col min="8708" max="8708" width="14.7109375" bestFit="1" customWidth="1"/>
    <col min="8709" max="8709" width="11.85546875" bestFit="1" customWidth="1"/>
    <col min="8710" max="8710" width="16.7109375" bestFit="1" customWidth="1"/>
    <col min="8711" max="8711" width="40.28515625" customWidth="1"/>
    <col min="8712" max="8712" width="25.7109375" customWidth="1"/>
    <col min="8713" max="8713" width="15.7109375" customWidth="1"/>
    <col min="8714" max="8714" width="18.7109375" customWidth="1"/>
    <col min="8715" max="8715" width="27.42578125" customWidth="1"/>
    <col min="8716" max="8716" width="14.42578125" bestFit="1" customWidth="1"/>
    <col min="8961" max="8961" width="49.85546875" customWidth="1"/>
    <col min="8962" max="8962" width="25.7109375" customWidth="1"/>
    <col min="8963" max="8963" width="15.7109375" customWidth="1"/>
    <col min="8964" max="8964" width="14.7109375" bestFit="1" customWidth="1"/>
    <col min="8965" max="8965" width="11.85546875" bestFit="1" customWidth="1"/>
    <col min="8966" max="8966" width="16.7109375" bestFit="1" customWidth="1"/>
    <col min="8967" max="8967" width="40.28515625" customWidth="1"/>
    <col min="8968" max="8968" width="25.7109375" customWidth="1"/>
    <col min="8969" max="8969" width="15.7109375" customWidth="1"/>
    <col min="8970" max="8970" width="18.7109375" customWidth="1"/>
    <col min="8971" max="8971" width="27.42578125" customWidth="1"/>
    <col min="8972" max="8972" width="14.42578125" bestFit="1" customWidth="1"/>
    <col min="9217" max="9217" width="49.85546875" customWidth="1"/>
    <col min="9218" max="9218" width="25.7109375" customWidth="1"/>
    <col min="9219" max="9219" width="15.7109375" customWidth="1"/>
    <col min="9220" max="9220" width="14.7109375" bestFit="1" customWidth="1"/>
    <col min="9221" max="9221" width="11.85546875" bestFit="1" customWidth="1"/>
    <col min="9222" max="9222" width="16.7109375" bestFit="1" customWidth="1"/>
    <col min="9223" max="9223" width="40.28515625" customWidth="1"/>
    <col min="9224" max="9224" width="25.7109375" customWidth="1"/>
    <col min="9225" max="9225" width="15.7109375" customWidth="1"/>
    <col min="9226" max="9226" width="18.7109375" customWidth="1"/>
    <col min="9227" max="9227" width="27.42578125" customWidth="1"/>
    <col min="9228" max="9228" width="14.42578125" bestFit="1" customWidth="1"/>
    <col min="9473" max="9473" width="49.85546875" customWidth="1"/>
    <col min="9474" max="9474" width="25.7109375" customWidth="1"/>
    <col min="9475" max="9475" width="15.7109375" customWidth="1"/>
    <col min="9476" max="9476" width="14.7109375" bestFit="1" customWidth="1"/>
    <col min="9477" max="9477" width="11.85546875" bestFit="1" customWidth="1"/>
    <col min="9478" max="9478" width="16.7109375" bestFit="1" customWidth="1"/>
    <col min="9479" max="9479" width="40.28515625" customWidth="1"/>
    <col min="9480" max="9480" width="25.7109375" customWidth="1"/>
    <col min="9481" max="9481" width="15.7109375" customWidth="1"/>
    <col min="9482" max="9482" width="18.7109375" customWidth="1"/>
    <col min="9483" max="9483" width="27.42578125" customWidth="1"/>
    <col min="9484" max="9484" width="14.42578125" bestFit="1" customWidth="1"/>
    <col min="9729" max="9729" width="49.85546875" customWidth="1"/>
    <col min="9730" max="9730" width="25.7109375" customWidth="1"/>
    <col min="9731" max="9731" width="15.7109375" customWidth="1"/>
    <col min="9732" max="9732" width="14.7109375" bestFit="1" customWidth="1"/>
    <col min="9733" max="9733" width="11.85546875" bestFit="1" customWidth="1"/>
    <col min="9734" max="9734" width="16.7109375" bestFit="1" customWidth="1"/>
    <col min="9735" max="9735" width="40.28515625" customWidth="1"/>
    <col min="9736" max="9736" width="25.7109375" customWidth="1"/>
    <col min="9737" max="9737" width="15.7109375" customWidth="1"/>
    <col min="9738" max="9738" width="18.7109375" customWidth="1"/>
    <col min="9739" max="9739" width="27.42578125" customWidth="1"/>
    <col min="9740" max="9740" width="14.42578125" bestFit="1" customWidth="1"/>
    <col min="9985" max="9985" width="49.85546875" customWidth="1"/>
    <col min="9986" max="9986" width="25.7109375" customWidth="1"/>
    <col min="9987" max="9987" width="15.7109375" customWidth="1"/>
    <col min="9988" max="9988" width="14.7109375" bestFit="1" customWidth="1"/>
    <col min="9989" max="9989" width="11.85546875" bestFit="1" customWidth="1"/>
    <col min="9990" max="9990" width="16.7109375" bestFit="1" customWidth="1"/>
    <col min="9991" max="9991" width="40.28515625" customWidth="1"/>
    <col min="9992" max="9992" width="25.7109375" customWidth="1"/>
    <col min="9993" max="9993" width="15.7109375" customWidth="1"/>
    <col min="9994" max="9994" width="18.7109375" customWidth="1"/>
    <col min="9995" max="9995" width="27.42578125" customWidth="1"/>
    <col min="9996" max="9996" width="14.42578125" bestFit="1" customWidth="1"/>
    <col min="10241" max="10241" width="49.85546875" customWidth="1"/>
    <col min="10242" max="10242" width="25.7109375" customWidth="1"/>
    <col min="10243" max="10243" width="15.7109375" customWidth="1"/>
    <col min="10244" max="10244" width="14.7109375" bestFit="1" customWidth="1"/>
    <col min="10245" max="10245" width="11.85546875" bestFit="1" customWidth="1"/>
    <col min="10246" max="10246" width="16.7109375" bestFit="1" customWidth="1"/>
    <col min="10247" max="10247" width="40.28515625" customWidth="1"/>
    <col min="10248" max="10248" width="25.7109375" customWidth="1"/>
    <col min="10249" max="10249" width="15.7109375" customWidth="1"/>
    <col min="10250" max="10250" width="18.7109375" customWidth="1"/>
    <col min="10251" max="10251" width="27.42578125" customWidth="1"/>
    <col min="10252" max="10252" width="14.42578125" bestFit="1" customWidth="1"/>
    <col min="10497" max="10497" width="49.85546875" customWidth="1"/>
    <col min="10498" max="10498" width="25.7109375" customWidth="1"/>
    <col min="10499" max="10499" width="15.7109375" customWidth="1"/>
    <col min="10500" max="10500" width="14.7109375" bestFit="1" customWidth="1"/>
    <col min="10501" max="10501" width="11.85546875" bestFit="1" customWidth="1"/>
    <col min="10502" max="10502" width="16.7109375" bestFit="1" customWidth="1"/>
    <col min="10503" max="10503" width="40.28515625" customWidth="1"/>
    <col min="10504" max="10504" width="25.7109375" customWidth="1"/>
    <col min="10505" max="10505" width="15.7109375" customWidth="1"/>
    <col min="10506" max="10506" width="18.7109375" customWidth="1"/>
    <col min="10507" max="10507" width="27.42578125" customWidth="1"/>
    <col min="10508" max="10508" width="14.42578125" bestFit="1" customWidth="1"/>
    <col min="10753" max="10753" width="49.85546875" customWidth="1"/>
    <col min="10754" max="10754" width="25.7109375" customWidth="1"/>
    <col min="10755" max="10755" width="15.7109375" customWidth="1"/>
    <col min="10756" max="10756" width="14.7109375" bestFit="1" customWidth="1"/>
    <col min="10757" max="10757" width="11.85546875" bestFit="1" customWidth="1"/>
    <col min="10758" max="10758" width="16.7109375" bestFit="1" customWidth="1"/>
    <col min="10759" max="10759" width="40.28515625" customWidth="1"/>
    <col min="10760" max="10760" width="25.7109375" customWidth="1"/>
    <col min="10761" max="10761" width="15.7109375" customWidth="1"/>
    <col min="10762" max="10762" width="18.7109375" customWidth="1"/>
    <col min="10763" max="10763" width="27.42578125" customWidth="1"/>
    <col min="10764" max="10764" width="14.42578125" bestFit="1" customWidth="1"/>
    <col min="11009" max="11009" width="49.85546875" customWidth="1"/>
    <col min="11010" max="11010" width="25.7109375" customWidth="1"/>
    <col min="11011" max="11011" width="15.7109375" customWidth="1"/>
    <col min="11012" max="11012" width="14.7109375" bestFit="1" customWidth="1"/>
    <col min="11013" max="11013" width="11.85546875" bestFit="1" customWidth="1"/>
    <col min="11014" max="11014" width="16.7109375" bestFit="1" customWidth="1"/>
    <col min="11015" max="11015" width="40.28515625" customWidth="1"/>
    <col min="11016" max="11016" width="25.7109375" customWidth="1"/>
    <col min="11017" max="11017" width="15.7109375" customWidth="1"/>
    <col min="11018" max="11018" width="18.7109375" customWidth="1"/>
    <col min="11019" max="11019" width="27.42578125" customWidth="1"/>
    <col min="11020" max="11020" width="14.42578125" bestFit="1" customWidth="1"/>
    <col min="11265" max="11265" width="49.85546875" customWidth="1"/>
    <col min="11266" max="11266" width="25.7109375" customWidth="1"/>
    <col min="11267" max="11267" width="15.7109375" customWidth="1"/>
    <col min="11268" max="11268" width="14.7109375" bestFit="1" customWidth="1"/>
    <col min="11269" max="11269" width="11.85546875" bestFit="1" customWidth="1"/>
    <col min="11270" max="11270" width="16.7109375" bestFit="1" customWidth="1"/>
    <col min="11271" max="11271" width="40.28515625" customWidth="1"/>
    <col min="11272" max="11272" width="25.7109375" customWidth="1"/>
    <col min="11273" max="11273" width="15.7109375" customWidth="1"/>
    <col min="11274" max="11274" width="18.7109375" customWidth="1"/>
    <col min="11275" max="11275" width="27.42578125" customWidth="1"/>
    <col min="11276" max="11276" width="14.42578125" bestFit="1" customWidth="1"/>
    <col min="11521" max="11521" width="49.85546875" customWidth="1"/>
    <col min="11522" max="11522" width="25.7109375" customWidth="1"/>
    <col min="11523" max="11523" width="15.7109375" customWidth="1"/>
    <col min="11524" max="11524" width="14.7109375" bestFit="1" customWidth="1"/>
    <col min="11525" max="11525" width="11.85546875" bestFit="1" customWidth="1"/>
    <col min="11526" max="11526" width="16.7109375" bestFit="1" customWidth="1"/>
    <col min="11527" max="11527" width="40.28515625" customWidth="1"/>
    <col min="11528" max="11528" width="25.7109375" customWidth="1"/>
    <col min="11529" max="11529" width="15.7109375" customWidth="1"/>
    <col min="11530" max="11530" width="18.7109375" customWidth="1"/>
    <col min="11531" max="11531" width="27.42578125" customWidth="1"/>
    <col min="11532" max="11532" width="14.42578125" bestFit="1" customWidth="1"/>
    <col min="11777" max="11777" width="49.85546875" customWidth="1"/>
    <col min="11778" max="11778" width="25.7109375" customWidth="1"/>
    <col min="11779" max="11779" width="15.7109375" customWidth="1"/>
    <col min="11780" max="11780" width="14.7109375" bestFit="1" customWidth="1"/>
    <col min="11781" max="11781" width="11.85546875" bestFit="1" customWidth="1"/>
    <col min="11782" max="11782" width="16.7109375" bestFit="1" customWidth="1"/>
    <col min="11783" max="11783" width="40.28515625" customWidth="1"/>
    <col min="11784" max="11784" width="25.7109375" customWidth="1"/>
    <col min="11785" max="11785" width="15.7109375" customWidth="1"/>
    <col min="11786" max="11786" width="18.7109375" customWidth="1"/>
    <col min="11787" max="11787" width="27.42578125" customWidth="1"/>
    <col min="11788" max="11788" width="14.42578125" bestFit="1" customWidth="1"/>
    <col min="12033" max="12033" width="49.85546875" customWidth="1"/>
    <col min="12034" max="12034" width="25.7109375" customWidth="1"/>
    <col min="12035" max="12035" width="15.7109375" customWidth="1"/>
    <col min="12036" max="12036" width="14.7109375" bestFit="1" customWidth="1"/>
    <col min="12037" max="12037" width="11.85546875" bestFit="1" customWidth="1"/>
    <col min="12038" max="12038" width="16.7109375" bestFit="1" customWidth="1"/>
    <col min="12039" max="12039" width="40.28515625" customWidth="1"/>
    <col min="12040" max="12040" width="25.7109375" customWidth="1"/>
    <col min="12041" max="12041" width="15.7109375" customWidth="1"/>
    <col min="12042" max="12042" width="18.7109375" customWidth="1"/>
    <col min="12043" max="12043" width="27.42578125" customWidth="1"/>
    <col min="12044" max="12044" width="14.42578125" bestFit="1" customWidth="1"/>
    <col min="12289" max="12289" width="49.85546875" customWidth="1"/>
    <col min="12290" max="12290" width="25.7109375" customWidth="1"/>
    <col min="12291" max="12291" width="15.7109375" customWidth="1"/>
    <col min="12292" max="12292" width="14.7109375" bestFit="1" customWidth="1"/>
    <col min="12293" max="12293" width="11.85546875" bestFit="1" customWidth="1"/>
    <col min="12294" max="12294" width="16.7109375" bestFit="1" customWidth="1"/>
    <col min="12295" max="12295" width="40.28515625" customWidth="1"/>
    <col min="12296" max="12296" width="25.7109375" customWidth="1"/>
    <col min="12297" max="12297" width="15.7109375" customWidth="1"/>
    <col min="12298" max="12298" width="18.7109375" customWidth="1"/>
    <col min="12299" max="12299" width="27.42578125" customWidth="1"/>
    <col min="12300" max="12300" width="14.42578125" bestFit="1" customWidth="1"/>
    <col min="12545" max="12545" width="49.85546875" customWidth="1"/>
    <col min="12546" max="12546" width="25.7109375" customWidth="1"/>
    <col min="12547" max="12547" width="15.7109375" customWidth="1"/>
    <col min="12548" max="12548" width="14.7109375" bestFit="1" customWidth="1"/>
    <col min="12549" max="12549" width="11.85546875" bestFit="1" customWidth="1"/>
    <col min="12550" max="12550" width="16.7109375" bestFit="1" customWidth="1"/>
    <col min="12551" max="12551" width="40.28515625" customWidth="1"/>
    <col min="12552" max="12552" width="25.7109375" customWidth="1"/>
    <col min="12553" max="12553" width="15.7109375" customWidth="1"/>
    <col min="12554" max="12554" width="18.7109375" customWidth="1"/>
    <col min="12555" max="12555" width="27.42578125" customWidth="1"/>
    <col min="12556" max="12556" width="14.42578125" bestFit="1" customWidth="1"/>
    <col min="12801" max="12801" width="49.85546875" customWidth="1"/>
    <col min="12802" max="12802" width="25.7109375" customWidth="1"/>
    <col min="12803" max="12803" width="15.7109375" customWidth="1"/>
    <col min="12804" max="12804" width="14.7109375" bestFit="1" customWidth="1"/>
    <col min="12805" max="12805" width="11.85546875" bestFit="1" customWidth="1"/>
    <col min="12806" max="12806" width="16.7109375" bestFit="1" customWidth="1"/>
    <col min="12807" max="12807" width="40.28515625" customWidth="1"/>
    <col min="12808" max="12808" width="25.7109375" customWidth="1"/>
    <col min="12809" max="12809" width="15.7109375" customWidth="1"/>
    <col min="12810" max="12810" width="18.7109375" customWidth="1"/>
    <col min="12811" max="12811" width="27.42578125" customWidth="1"/>
    <col min="12812" max="12812" width="14.42578125" bestFit="1" customWidth="1"/>
    <col min="13057" max="13057" width="49.85546875" customWidth="1"/>
    <col min="13058" max="13058" width="25.7109375" customWidth="1"/>
    <col min="13059" max="13059" width="15.7109375" customWidth="1"/>
    <col min="13060" max="13060" width="14.7109375" bestFit="1" customWidth="1"/>
    <col min="13061" max="13061" width="11.85546875" bestFit="1" customWidth="1"/>
    <col min="13062" max="13062" width="16.7109375" bestFit="1" customWidth="1"/>
    <col min="13063" max="13063" width="40.28515625" customWidth="1"/>
    <col min="13064" max="13064" width="25.7109375" customWidth="1"/>
    <col min="13065" max="13065" width="15.7109375" customWidth="1"/>
    <col min="13066" max="13066" width="18.7109375" customWidth="1"/>
    <col min="13067" max="13067" width="27.42578125" customWidth="1"/>
    <col min="13068" max="13068" width="14.42578125" bestFit="1" customWidth="1"/>
    <col min="13313" max="13313" width="49.85546875" customWidth="1"/>
    <col min="13314" max="13314" width="25.7109375" customWidth="1"/>
    <col min="13315" max="13315" width="15.7109375" customWidth="1"/>
    <col min="13316" max="13316" width="14.7109375" bestFit="1" customWidth="1"/>
    <col min="13317" max="13317" width="11.85546875" bestFit="1" customWidth="1"/>
    <col min="13318" max="13318" width="16.7109375" bestFit="1" customWidth="1"/>
    <col min="13319" max="13319" width="40.28515625" customWidth="1"/>
    <col min="13320" max="13320" width="25.7109375" customWidth="1"/>
    <col min="13321" max="13321" width="15.7109375" customWidth="1"/>
    <col min="13322" max="13322" width="18.7109375" customWidth="1"/>
    <col min="13323" max="13323" width="27.42578125" customWidth="1"/>
    <col min="13324" max="13324" width="14.42578125" bestFit="1" customWidth="1"/>
    <col min="13569" max="13569" width="49.85546875" customWidth="1"/>
    <col min="13570" max="13570" width="25.7109375" customWidth="1"/>
    <col min="13571" max="13571" width="15.7109375" customWidth="1"/>
    <col min="13572" max="13572" width="14.7109375" bestFit="1" customWidth="1"/>
    <col min="13573" max="13573" width="11.85546875" bestFit="1" customWidth="1"/>
    <col min="13574" max="13574" width="16.7109375" bestFit="1" customWidth="1"/>
    <col min="13575" max="13575" width="40.28515625" customWidth="1"/>
    <col min="13576" max="13576" width="25.7109375" customWidth="1"/>
    <col min="13577" max="13577" width="15.7109375" customWidth="1"/>
    <col min="13578" max="13578" width="18.7109375" customWidth="1"/>
    <col min="13579" max="13579" width="27.42578125" customWidth="1"/>
    <col min="13580" max="13580" width="14.42578125" bestFit="1" customWidth="1"/>
    <col min="13825" max="13825" width="49.85546875" customWidth="1"/>
    <col min="13826" max="13826" width="25.7109375" customWidth="1"/>
    <col min="13827" max="13827" width="15.7109375" customWidth="1"/>
    <col min="13828" max="13828" width="14.7109375" bestFit="1" customWidth="1"/>
    <col min="13829" max="13829" width="11.85546875" bestFit="1" customWidth="1"/>
    <col min="13830" max="13830" width="16.7109375" bestFit="1" customWidth="1"/>
    <col min="13831" max="13831" width="40.28515625" customWidth="1"/>
    <col min="13832" max="13832" width="25.7109375" customWidth="1"/>
    <col min="13833" max="13833" width="15.7109375" customWidth="1"/>
    <col min="13834" max="13834" width="18.7109375" customWidth="1"/>
    <col min="13835" max="13835" width="27.42578125" customWidth="1"/>
    <col min="13836" max="13836" width="14.42578125" bestFit="1" customWidth="1"/>
    <col min="14081" max="14081" width="49.85546875" customWidth="1"/>
    <col min="14082" max="14082" width="25.7109375" customWidth="1"/>
    <col min="14083" max="14083" width="15.7109375" customWidth="1"/>
    <col min="14084" max="14084" width="14.7109375" bestFit="1" customWidth="1"/>
    <col min="14085" max="14085" width="11.85546875" bestFit="1" customWidth="1"/>
    <col min="14086" max="14086" width="16.7109375" bestFit="1" customWidth="1"/>
    <col min="14087" max="14087" width="40.28515625" customWidth="1"/>
    <col min="14088" max="14088" width="25.7109375" customWidth="1"/>
    <col min="14089" max="14089" width="15.7109375" customWidth="1"/>
    <col min="14090" max="14090" width="18.7109375" customWidth="1"/>
    <col min="14091" max="14091" width="27.42578125" customWidth="1"/>
    <col min="14092" max="14092" width="14.42578125" bestFit="1" customWidth="1"/>
    <col min="14337" max="14337" width="49.85546875" customWidth="1"/>
    <col min="14338" max="14338" width="25.7109375" customWidth="1"/>
    <col min="14339" max="14339" width="15.7109375" customWidth="1"/>
    <col min="14340" max="14340" width="14.7109375" bestFit="1" customWidth="1"/>
    <col min="14341" max="14341" width="11.85546875" bestFit="1" customWidth="1"/>
    <col min="14342" max="14342" width="16.7109375" bestFit="1" customWidth="1"/>
    <col min="14343" max="14343" width="40.28515625" customWidth="1"/>
    <col min="14344" max="14344" width="25.7109375" customWidth="1"/>
    <col min="14345" max="14345" width="15.7109375" customWidth="1"/>
    <col min="14346" max="14346" width="18.7109375" customWidth="1"/>
    <col min="14347" max="14347" width="27.42578125" customWidth="1"/>
    <col min="14348" max="14348" width="14.42578125" bestFit="1" customWidth="1"/>
    <col min="14593" max="14593" width="49.85546875" customWidth="1"/>
    <col min="14594" max="14594" width="25.7109375" customWidth="1"/>
    <col min="14595" max="14595" width="15.7109375" customWidth="1"/>
    <col min="14596" max="14596" width="14.7109375" bestFit="1" customWidth="1"/>
    <col min="14597" max="14597" width="11.85546875" bestFit="1" customWidth="1"/>
    <col min="14598" max="14598" width="16.7109375" bestFit="1" customWidth="1"/>
    <col min="14599" max="14599" width="40.28515625" customWidth="1"/>
    <col min="14600" max="14600" width="25.7109375" customWidth="1"/>
    <col min="14601" max="14601" width="15.7109375" customWidth="1"/>
    <col min="14602" max="14602" width="18.7109375" customWidth="1"/>
    <col min="14603" max="14603" width="27.42578125" customWidth="1"/>
    <col min="14604" max="14604" width="14.42578125" bestFit="1" customWidth="1"/>
    <col min="14849" max="14849" width="49.85546875" customWidth="1"/>
    <col min="14850" max="14850" width="25.7109375" customWidth="1"/>
    <col min="14851" max="14851" width="15.7109375" customWidth="1"/>
    <col min="14852" max="14852" width="14.7109375" bestFit="1" customWidth="1"/>
    <col min="14853" max="14853" width="11.85546875" bestFit="1" customWidth="1"/>
    <col min="14854" max="14854" width="16.7109375" bestFit="1" customWidth="1"/>
    <col min="14855" max="14855" width="40.28515625" customWidth="1"/>
    <col min="14856" max="14856" width="25.7109375" customWidth="1"/>
    <col min="14857" max="14857" width="15.7109375" customWidth="1"/>
    <col min="14858" max="14858" width="18.7109375" customWidth="1"/>
    <col min="14859" max="14859" width="27.42578125" customWidth="1"/>
    <col min="14860" max="14860" width="14.42578125" bestFit="1" customWidth="1"/>
    <col min="15105" max="15105" width="49.85546875" customWidth="1"/>
    <col min="15106" max="15106" width="25.7109375" customWidth="1"/>
    <col min="15107" max="15107" width="15.7109375" customWidth="1"/>
    <col min="15108" max="15108" width="14.7109375" bestFit="1" customWidth="1"/>
    <col min="15109" max="15109" width="11.85546875" bestFit="1" customWidth="1"/>
    <col min="15110" max="15110" width="16.7109375" bestFit="1" customWidth="1"/>
    <col min="15111" max="15111" width="40.28515625" customWidth="1"/>
    <col min="15112" max="15112" width="25.7109375" customWidth="1"/>
    <col min="15113" max="15113" width="15.7109375" customWidth="1"/>
    <col min="15114" max="15114" width="18.7109375" customWidth="1"/>
    <col min="15115" max="15115" width="27.42578125" customWidth="1"/>
    <col min="15116" max="15116" width="14.42578125" bestFit="1" customWidth="1"/>
    <col min="15361" max="15361" width="49.85546875" customWidth="1"/>
    <col min="15362" max="15362" width="25.7109375" customWidth="1"/>
    <col min="15363" max="15363" width="15.7109375" customWidth="1"/>
    <col min="15364" max="15364" width="14.7109375" bestFit="1" customWidth="1"/>
    <col min="15365" max="15365" width="11.85546875" bestFit="1" customWidth="1"/>
    <col min="15366" max="15366" width="16.7109375" bestFit="1" customWidth="1"/>
    <col min="15367" max="15367" width="40.28515625" customWidth="1"/>
    <col min="15368" max="15368" width="25.7109375" customWidth="1"/>
    <col min="15369" max="15369" width="15.7109375" customWidth="1"/>
    <col min="15370" max="15370" width="18.7109375" customWidth="1"/>
    <col min="15371" max="15371" width="27.42578125" customWidth="1"/>
    <col min="15372" max="15372" width="14.42578125" bestFit="1" customWidth="1"/>
    <col min="15617" max="15617" width="49.85546875" customWidth="1"/>
    <col min="15618" max="15618" width="25.7109375" customWidth="1"/>
    <col min="15619" max="15619" width="15.7109375" customWidth="1"/>
    <col min="15620" max="15620" width="14.7109375" bestFit="1" customWidth="1"/>
    <col min="15621" max="15621" width="11.85546875" bestFit="1" customWidth="1"/>
    <col min="15622" max="15622" width="16.7109375" bestFit="1" customWidth="1"/>
    <col min="15623" max="15623" width="40.28515625" customWidth="1"/>
    <col min="15624" max="15624" width="25.7109375" customWidth="1"/>
    <col min="15625" max="15625" width="15.7109375" customWidth="1"/>
    <col min="15626" max="15626" width="18.7109375" customWidth="1"/>
    <col min="15627" max="15627" width="27.42578125" customWidth="1"/>
    <col min="15628" max="15628" width="14.42578125" bestFit="1" customWidth="1"/>
    <col min="15873" max="15873" width="49.85546875" customWidth="1"/>
    <col min="15874" max="15874" width="25.7109375" customWidth="1"/>
    <col min="15875" max="15875" width="15.7109375" customWidth="1"/>
    <col min="15876" max="15876" width="14.7109375" bestFit="1" customWidth="1"/>
    <col min="15877" max="15877" width="11.85546875" bestFit="1" customWidth="1"/>
    <col min="15878" max="15878" width="16.7109375" bestFit="1" customWidth="1"/>
    <col min="15879" max="15879" width="40.28515625" customWidth="1"/>
    <col min="15880" max="15880" width="25.7109375" customWidth="1"/>
    <col min="15881" max="15881" width="15.7109375" customWidth="1"/>
    <col min="15882" max="15882" width="18.7109375" customWidth="1"/>
    <col min="15883" max="15883" width="27.42578125" customWidth="1"/>
    <col min="15884" max="15884" width="14.42578125" bestFit="1" customWidth="1"/>
    <col min="16129" max="16129" width="49.85546875" customWidth="1"/>
    <col min="16130" max="16130" width="25.7109375" customWidth="1"/>
    <col min="16131" max="16131" width="15.7109375" customWidth="1"/>
    <col min="16132" max="16132" width="14.7109375" bestFit="1" customWidth="1"/>
    <col min="16133" max="16133" width="11.85546875" bestFit="1" customWidth="1"/>
    <col min="16134" max="16134" width="16.7109375" bestFit="1" customWidth="1"/>
    <col min="16135" max="16135" width="40.28515625" customWidth="1"/>
    <col min="16136" max="16136" width="25.7109375" customWidth="1"/>
    <col min="16137" max="16137" width="15.7109375" customWidth="1"/>
    <col min="16138" max="16138" width="18.7109375" customWidth="1"/>
    <col min="16139" max="16139" width="27.42578125" customWidth="1"/>
    <col min="16140" max="16140" width="14.42578125" bestFit="1" customWidth="1"/>
  </cols>
  <sheetData>
    <row r="1" spans="1:6" ht="24.95" customHeight="1">
      <c r="A1" s="803" t="s">
        <v>494</v>
      </c>
      <c r="B1" s="804"/>
      <c r="C1" s="804"/>
      <c r="D1" s="804"/>
      <c r="E1" s="804"/>
      <c r="F1" s="805"/>
    </row>
    <row r="2" spans="1:6" ht="24.95" customHeight="1">
      <c r="A2" s="806"/>
      <c r="B2" s="807"/>
      <c r="C2" s="807"/>
      <c r="D2" s="807"/>
      <c r="E2" s="807"/>
      <c r="F2" s="808"/>
    </row>
    <row r="3" spans="1:6" ht="15.75">
      <c r="A3" s="394" t="s">
        <v>118</v>
      </c>
      <c r="B3" s="395" t="s">
        <v>197</v>
      </c>
      <c r="C3" s="395"/>
      <c r="D3" s="395"/>
      <c r="E3" s="395"/>
      <c r="F3" s="396" t="s">
        <v>119</v>
      </c>
    </row>
    <row r="4" spans="1:6" ht="15.75">
      <c r="A4" s="394" t="s">
        <v>120</v>
      </c>
      <c r="B4" s="397" t="s">
        <v>121</v>
      </c>
      <c r="C4" s="397" t="s">
        <v>16</v>
      </c>
      <c r="D4" s="397" t="s">
        <v>122</v>
      </c>
      <c r="E4" s="397" t="s">
        <v>123</v>
      </c>
      <c r="F4" s="396" t="s">
        <v>211</v>
      </c>
    </row>
    <row r="5" spans="1:6" ht="18.75" customHeight="1">
      <c r="A5" s="800" t="s">
        <v>495</v>
      </c>
      <c r="B5" s="801"/>
      <c r="C5" s="801"/>
      <c r="D5" s="801"/>
      <c r="E5" s="801"/>
      <c r="F5" s="802"/>
    </row>
    <row r="6" spans="1:6" ht="62.1" customHeight="1">
      <c r="A6" s="398" t="s">
        <v>496</v>
      </c>
      <c r="B6" s="399" t="s">
        <v>124</v>
      </c>
      <c r="C6" s="400" t="s">
        <v>198</v>
      </c>
      <c r="D6" s="401">
        <v>0.6</v>
      </c>
      <c r="E6" s="402">
        <v>0.28299999999999997</v>
      </c>
      <c r="F6" s="403"/>
    </row>
    <row r="7" spans="1:6" ht="60" customHeight="1">
      <c r="A7" s="398" t="s">
        <v>497</v>
      </c>
      <c r="B7" s="399" t="s">
        <v>141</v>
      </c>
      <c r="C7" s="400" t="s">
        <v>142</v>
      </c>
      <c r="D7" s="401" t="s">
        <v>199</v>
      </c>
      <c r="E7" s="402">
        <f>(0.25*0.45)*2</f>
        <v>0.22500000000000001</v>
      </c>
      <c r="F7" s="403">
        <v>2</v>
      </c>
    </row>
    <row r="8" spans="1:6" ht="18.75">
      <c r="A8" s="809"/>
      <c r="B8" s="810"/>
      <c r="C8" s="810"/>
      <c r="D8" s="810"/>
      <c r="E8" s="810"/>
      <c r="F8" s="811"/>
    </row>
    <row r="9" spans="1:6" ht="18.75" customHeight="1">
      <c r="A9" s="800" t="s">
        <v>498</v>
      </c>
      <c r="B9" s="801"/>
      <c r="C9" s="801"/>
      <c r="D9" s="801"/>
      <c r="E9" s="801"/>
      <c r="F9" s="802"/>
    </row>
    <row r="10" spans="1:6" ht="62.1" customHeight="1">
      <c r="A10" s="398" t="s">
        <v>499</v>
      </c>
      <c r="B10" s="399" t="s">
        <v>124</v>
      </c>
      <c r="C10" s="400" t="s">
        <v>198</v>
      </c>
      <c r="D10" s="401">
        <v>0.6</v>
      </c>
      <c r="E10" s="402">
        <v>0.28299999999999997</v>
      </c>
      <c r="F10" s="403"/>
    </row>
    <row r="11" spans="1:6" ht="60" customHeight="1">
      <c r="A11" s="398" t="s">
        <v>500</v>
      </c>
      <c r="B11" s="399" t="s">
        <v>141</v>
      </c>
      <c r="C11" s="400" t="s">
        <v>142</v>
      </c>
      <c r="D11" s="401" t="s">
        <v>199</v>
      </c>
      <c r="E11" s="402">
        <f>(0.25*0.45)*2</f>
        <v>0.22500000000000001</v>
      </c>
      <c r="F11" s="403">
        <v>2</v>
      </c>
    </row>
    <row r="12" spans="1:6" ht="18.75">
      <c r="A12" s="809"/>
      <c r="B12" s="810"/>
      <c r="C12" s="810"/>
      <c r="D12" s="810"/>
      <c r="E12" s="810"/>
      <c r="F12" s="811"/>
    </row>
    <row r="13" spans="1:6" ht="18.75" customHeight="1">
      <c r="A13" s="800" t="s">
        <v>501</v>
      </c>
      <c r="B13" s="801"/>
      <c r="C13" s="801"/>
      <c r="D13" s="801"/>
      <c r="E13" s="801"/>
      <c r="F13" s="802"/>
    </row>
    <row r="14" spans="1:6" ht="62.1" customHeight="1">
      <c r="A14" s="398" t="s">
        <v>502</v>
      </c>
      <c r="B14" s="399" t="s">
        <v>124</v>
      </c>
      <c r="C14" s="400" t="s">
        <v>198</v>
      </c>
      <c r="D14" s="401">
        <v>0.6</v>
      </c>
      <c r="E14" s="402">
        <v>0.28299999999999997</v>
      </c>
      <c r="F14" s="403"/>
    </row>
    <row r="15" spans="1:6" ht="60" customHeight="1">
      <c r="A15" s="398" t="s">
        <v>503</v>
      </c>
      <c r="B15" s="399" t="s">
        <v>141</v>
      </c>
      <c r="C15" s="400" t="s">
        <v>142</v>
      </c>
      <c r="D15" s="401" t="s">
        <v>199</v>
      </c>
      <c r="E15" s="402">
        <f>(0.25*0.45)*2</f>
        <v>0.22500000000000001</v>
      </c>
      <c r="F15" s="403">
        <v>2</v>
      </c>
    </row>
    <row r="16" spans="1:6" ht="18.75">
      <c r="A16" s="809"/>
      <c r="B16" s="810"/>
      <c r="C16" s="810"/>
      <c r="D16" s="810"/>
      <c r="E16" s="810"/>
      <c r="F16" s="811"/>
    </row>
    <row r="17" spans="1:6" ht="18.75" customHeight="1">
      <c r="A17" s="800" t="s">
        <v>504</v>
      </c>
      <c r="B17" s="801"/>
      <c r="C17" s="801"/>
      <c r="D17" s="801"/>
      <c r="E17" s="801"/>
      <c r="F17" s="802"/>
    </row>
    <row r="18" spans="1:6" ht="62.1" customHeight="1">
      <c r="A18" s="398" t="s">
        <v>505</v>
      </c>
      <c r="B18" s="399" t="s">
        <v>124</v>
      </c>
      <c r="C18" s="400" t="s">
        <v>198</v>
      </c>
      <c r="D18" s="401">
        <v>0.6</v>
      </c>
      <c r="E18" s="402">
        <v>0.28299999999999997</v>
      </c>
      <c r="F18" s="403"/>
    </row>
    <row r="19" spans="1:6" ht="60" customHeight="1">
      <c r="A19" s="398" t="s">
        <v>506</v>
      </c>
      <c r="B19" s="399" t="s">
        <v>141</v>
      </c>
      <c r="C19" s="400" t="s">
        <v>142</v>
      </c>
      <c r="D19" s="401" t="s">
        <v>199</v>
      </c>
      <c r="E19" s="402">
        <f>(0.25*0.45)*2</f>
        <v>0.22500000000000001</v>
      </c>
      <c r="F19" s="403">
        <v>2</v>
      </c>
    </row>
    <row r="20" spans="1:6" ht="18.75">
      <c r="A20" s="809"/>
      <c r="B20" s="810"/>
      <c r="C20" s="810"/>
      <c r="D20" s="810"/>
      <c r="E20" s="810"/>
      <c r="F20" s="811"/>
    </row>
    <row r="21" spans="1:6" ht="18.75" customHeight="1">
      <c r="A21" s="800" t="s">
        <v>507</v>
      </c>
      <c r="B21" s="801"/>
      <c r="C21" s="801"/>
      <c r="D21" s="801"/>
      <c r="E21" s="801"/>
      <c r="F21" s="802"/>
    </row>
    <row r="22" spans="1:6" ht="60" customHeight="1">
      <c r="A22" s="398" t="s">
        <v>505</v>
      </c>
      <c r="B22" s="399" t="s">
        <v>124</v>
      </c>
      <c r="C22" s="400" t="s">
        <v>198</v>
      </c>
      <c r="D22" s="401">
        <v>0.6</v>
      </c>
      <c r="E22" s="402">
        <v>0.28299999999999997</v>
      </c>
      <c r="F22" s="403"/>
    </row>
    <row r="23" spans="1:6" ht="60" customHeight="1">
      <c r="A23" s="398" t="s">
        <v>506</v>
      </c>
      <c r="B23" s="399" t="s">
        <v>141</v>
      </c>
      <c r="C23" s="400" t="s">
        <v>142</v>
      </c>
      <c r="D23" s="401" t="s">
        <v>199</v>
      </c>
      <c r="E23" s="402">
        <f>(0.25*0.45)*2</f>
        <v>0.22500000000000001</v>
      </c>
      <c r="F23" s="403">
        <v>2</v>
      </c>
    </row>
    <row r="24" spans="1:6" ht="18.75">
      <c r="A24" s="809"/>
      <c r="B24" s="810"/>
      <c r="C24" s="810"/>
      <c r="D24" s="810"/>
      <c r="E24" s="810"/>
      <c r="F24" s="811"/>
    </row>
    <row r="25" spans="1:6" ht="18.75" customHeight="1">
      <c r="A25" s="800" t="s">
        <v>508</v>
      </c>
      <c r="B25" s="801"/>
      <c r="C25" s="801"/>
      <c r="D25" s="801"/>
      <c r="E25" s="801"/>
      <c r="F25" s="802"/>
    </row>
    <row r="26" spans="1:6" ht="60" customHeight="1">
      <c r="A26" s="398" t="s">
        <v>509</v>
      </c>
      <c r="B26" s="399" t="s">
        <v>124</v>
      </c>
      <c r="C26" s="400" t="s">
        <v>198</v>
      </c>
      <c r="D26" s="401">
        <v>0.6</v>
      </c>
      <c r="E26" s="402">
        <v>0.28299999999999997</v>
      </c>
      <c r="F26" s="403"/>
    </row>
    <row r="27" spans="1:6" ht="60" customHeight="1">
      <c r="A27" s="398" t="s">
        <v>510</v>
      </c>
      <c r="B27" s="399" t="s">
        <v>141</v>
      </c>
      <c r="C27" s="400" t="s">
        <v>142</v>
      </c>
      <c r="D27" s="401" t="s">
        <v>199</v>
      </c>
      <c r="E27" s="402">
        <f>(0.25*0.45)*2</f>
        <v>0.22500000000000001</v>
      </c>
      <c r="F27" s="403">
        <v>2</v>
      </c>
    </row>
    <row r="28" spans="1:6" ht="18.75">
      <c r="A28" s="809"/>
      <c r="B28" s="810"/>
      <c r="C28" s="810"/>
      <c r="D28" s="810"/>
      <c r="E28" s="810"/>
      <c r="F28" s="811"/>
    </row>
    <row r="29" spans="1:6" ht="18.75" customHeight="1">
      <c r="A29" s="800" t="s">
        <v>511</v>
      </c>
      <c r="B29" s="801"/>
      <c r="C29" s="801"/>
      <c r="D29" s="801"/>
      <c r="E29" s="801"/>
      <c r="F29" s="802"/>
    </row>
    <row r="30" spans="1:6" ht="60" customHeight="1">
      <c r="A30" s="398" t="s">
        <v>512</v>
      </c>
      <c r="B30" s="399" t="s">
        <v>124</v>
      </c>
      <c r="C30" s="400" t="s">
        <v>198</v>
      </c>
      <c r="D30" s="401">
        <v>0.6</v>
      </c>
      <c r="E30" s="402">
        <v>0.28299999999999997</v>
      </c>
      <c r="F30" s="403"/>
    </row>
    <row r="31" spans="1:6" ht="60" customHeight="1">
      <c r="A31" s="398" t="s">
        <v>513</v>
      </c>
      <c r="B31" s="399" t="s">
        <v>141</v>
      </c>
      <c r="C31" s="400" t="s">
        <v>142</v>
      </c>
      <c r="D31" s="401" t="s">
        <v>199</v>
      </c>
      <c r="E31" s="402">
        <f>(0.25*0.45)*2</f>
        <v>0.22500000000000001</v>
      </c>
      <c r="F31" s="403">
        <v>2</v>
      </c>
    </row>
    <row r="32" spans="1:6" ht="18.75">
      <c r="A32" s="809"/>
      <c r="B32" s="810"/>
      <c r="C32" s="810"/>
      <c r="D32" s="810"/>
      <c r="E32" s="810"/>
      <c r="F32" s="811"/>
    </row>
    <row r="33" spans="1:6" ht="18.75" customHeight="1">
      <c r="A33" s="800" t="s">
        <v>514</v>
      </c>
      <c r="B33" s="801"/>
      <c r="C33" s="801"/>
      <c r="D33" s="801"/>
      <c r="E33" s="801"/>
      <c r="F33" s="802"/>
    </row>
    <row r="34" spans="1:6" ht="60" customHeight="1">
      <c r="A34" s="398" t="s">
        <v>515</v>
      </c>
      <c r="B34" s="399" t="s">
        <v>124</v>
      </c>
      <c r="C34" s="400" t="s">
        <v>198</v>
      </c>
      <c r="D34" s="401">
        <v>0.6</v>
      </c>
      <c r="E34" s="402">
        <v>0.28299999999999997</v>
      </c>
      <c r="F34" s="403"/>
    </row>
    <row r="35" spans="1:6" ht="60" customHeight="1">
      <c r="A35" s="398" t="s">
        <v>516</v>
      </c>
      <c r="B35" s="399" t="s">
        <v>141</v>
      </c>
      <c r="C35" s="400" t="s">
        <v>142</v>
      </c>
      <c r="D35" s="401" t="s">
        <v>199</v>
      </c>
      <c r="E35" s="402">
        <f>(0.25*0.45)*2</f>
        <v>0.22500000000000001</v>
      </c>
      <c r="F35" s="403">
        <v>2</v>
      </c>
    </row>
    <row r="36" spans="1:6" ht="18.75">
      <c r="A36" s="809"/>
      <c r="B36" s="810"/>
      <c r="C36" s="810"/>
      <c r="D36" s="810"/>
      <c r="E36" s="810"/>
      <c r="F36" s="811"/>
    </row>
    <row r="37" spans="1:6" ht="18.75" customHeight="1">
      <c r="A37" s="800" t="s">
        <v>517</v>
      </c>
      <c r="B37" s="801"/>
      <c r="C37" s="801"/>
      <c r="D37" s="801"/>
      <c r="E37" s="801"/>
      <c r="F37" s="802"/>
    </row>
    <row r="38" spans="1:6" ht="60" customHeight="1">
      <c r="A38" s="398" t="s">
        <v>518</v>
      </c>
      <c r="B38" s="399" t="s">
        <v>124</v>
      </c>
      <c r="C38" s="400" t="s">
        <v>198</v>
      </c>
      <c r="D38" s="401">
        <v>0.6</v>
      </c>
      <c r="E38" s="402">
        <v>0.28299999999999997</v>
      </c>
      <c r="F38" s="403"/>
    </row>
    <row r="39" spans="1:6" ht="60" customHeight="1">
      <c r="A39" s="398" t="s">
        <v>519</v>
      </c>
      <c r="B39" s="399" t="s">
        <v>141</v>
      </c>
      <c r="C39" s="400" t="s">
        <v>142</v>
      </c>
      <c r="D39" s="401" t="s">
        <v>199</v>
      </c>
      <c r="E39" s="402">
        <f>(0.25*0.45)*2</f>
        <v>0.22500000000000001</v>
      </c>
      <c r="F39" s="403">
        <v>2</v>
      </c>
    </row>
    <row r="40" spans="1:6" ht="18.75">
      <c r="A40" s="809"/>
      <c r="B40" s="810"/>
      <c r="C40" s="810"/>
      <c r="D40" s="810"/>
      <c r="E40" s="810"/>
      <c r="F40" s="811"/>
    </row>
    <row r="41" spans="1:6" ht="18.75" customHeight="1">
      <c r="A41" s="800" t="s">
        <v>520</v>
      </c>
      <c r="B41" s="801"/>
      <c r="C41" s="801"/>
      <c r="D41" s="801"/>
      <c r="E41" s="801"/>
      <c r="F41" s="802"/>
    </row>
    <row r="42" spans="1:6" ht="60" customHeight="1">
      <c r="A42" s="398" t="s">
        <v>515</v>
      </c>
      <c r="B42" s="399" t="s">
        <v>124</v>
      </c>
      <c r="C42" s="400" t="s">
        <v>198</v>
      </c>
      <c r="D42" s="401">
        <v>0.6</v>
      </c>
      <c r="E42" s="402">
        <v>0.28299999999999997</v>
      </c>
      <c r="F42" s="403"/>
    </row>
    <row r="43" spans="1:6" ht="60" customHeight="1">
      <c r="A43" s="398" t="s">
        <v>516</v>
      </c>
      <c r="B43" s="399" t="s">
        <v>141</v>
      </c>
      <c r="C43" s="400" t="s">
        <v>142</v>
      </c>
      <c r="D43" s="401" t="s">
        <v>199</v>
      </c>
      <c r="E43" s="402">
        <f>(0.25*0.45)*2</f>
        <v>0.22500000000000001</v>
      </c>
      <c r="F43" s="403">
        <v>2</v>
      </c>
    </row>
    <row r="44" spans="1:6" ht="18.75">
      <c r="A44" s="809"/>
      <c r="B44" s="810"/>
      <c r="C44" s="810"/>
      <c r="D44" s="810"/>
      <c r="E44" s="810"/>
      <c r="F44" s="811"/>
    </row>
    <row r="45" spans="1:6" ht="18.75" customHeight="1">
      <c r="A45" s="800" t="s">
        <v>521</v>
      </c>
      <c r="B45" s="801"/>
      <c r="C45" s="801"/>
      <c r="D45" s="801"/>
      <c r="E45" s="801"/>
      <c r="F45" s="802"/>
    </row>
    <row r="46" spans="1:6" ht="60" customHeight="1">
      <c r="A46" s="398" t="s">
        <v>518</v>
      </c>
      <c r="B46" s="399" t="s">
        <v>124</v>
      </c>
      <c r="C46" s="400" t="s">
        <v>198</v>
      </c>
      <c r="D46" s="401">
        <v>0.6</v>
      </c>
      <c r="E46" s="402">
        <v>0.28299999999999997</v>
      </c>
      <c r="F46" s="403"/>
    </row>
    <row r="47" spans="1:6" ht="60" customHeight="1">
      <c r="A47" s="398" t="s">
        <v>519</v>
      </c>
      <c r="B47" s="399" t="s">
        <v>141</v>
      </c>
      <c r="C47" s="400" t="s">
        <v>142</v>
      </c>
      <c r="D47" s="401" t="s">
        <v>199</v>
      </c>
      <c r="E47" s="402">
        <f>(0.25*0.45)*2</f>
        <v>0.22500000000000001</v>
      </c>
      <c r="F47" s="403">
        <v>2</v>
      </c>
    </row>
    <row r="48" spans="1:6" ht="18.75">
      <c r="A48" s="440"/>
      <c r="B48" s="441"/>
      <c r="C48" s="441"/>
      <c r="D48" s="441"/>
      <c r="E48" s="441"/>
      <c r="F48" s="442"/>
    </row>
    <row r="49" spans="1:6" ht="18.75" customHeight="1">
      <c r="A49" s="800" t="s">
        <v>522</v>
      </c>
      <c r="B49" s="801"/>
      <c r="C49" s="801"/>
      <c r="D49" s="801"/>
      <c r="E49" s="801"/>
      <c r="F49" s="802"/>
    </row>
    <row r="50" spans="1:6" ht="60" customHeight="1">
      <c r="A50" s="398" t="s">
        <v>515</v>
      </c>
      <c r="B50" s="399" t="s">
        <v>124</v>
      </c>
      <c r="C50" s="400" t="s">
        <v>198</v>
      </c>
      <c r="D50" s="401">
        <v>0.6</v>
      </c>
      <c r="E50" s="402">
        <v>0.28299999999999997</v>
      </c>
      <c r="F50" s="403"/>
    </row>
    <row r="51" spans="1:6" ht="60" customHeight="1">
      <c r="A51" s="398" t="s">
        <v>516</v>
      </c>
      <c r="B51" s="399" t="s">
        <v>141</v>
      </c>
      <c r="C51" s="400" t="s">
        <v>142</v>
      </c>
      <c r="D51" s="401" t="s">
        <v>199</v>
      </c>
      <c r="E51" s="402">
        <f>(0.25*0.45)*2</f>
        <v>0.22500000000000001</v>
      </c>
      <c r="F51" s="403">
        <v>2</v>
      </c>
    </row>
    <row r="52" spans="1:6" ht="18.75">
      <c r="A52" s="809"/>
      <c r="B52" s="810"/>
      <c r="C52" s="810"/>
      <c r="D52" s="810"/>
      <c r="E52" s="810"/>
      <c r="F52" s="811"/>
    </row>
    <row r="53" spans="1:6" ht="18.75" customHeight="1">
      <c r="A53" s="800" t="s">
        <v>523</v>
      </c>
      <c r="B53" s="801"/>
      <c r="C53" s="801"/>
      <c r="D53" s="801"/>
      <c r="E53" s="801"/>
      <c r="F53" s="802"/>
    </row>
    <row r="54" spans="1:6" ht="60" customHeight="1">
      <c r="A54" s="398" t="s">
        <v>518</v>
      </c>
      <c r="B54" s="399" t="s">
        <v>124</v>
      </c>
      <c r="C54" s="400" t="s">
        <v>198</v>
      </c>
      <c r="D54" s="401">
        <v>0.6</v>
      </c>
      <c r="E54" s="402">
        <v>0.28299999999999997</v>
      </c>
      <c r="F54" s="403"/>
    </row>
    <row r="55" spans="1:6" ht="60" customHeight="1">
      <c r="A55" s="398" t="s">
        <v>519</v>
      </c>
      <c r="B55" s="399" t="s">
        <v>141</v>
      </c>
      <c r="C55" s="400" t="s">
        <v>142</v>
      </c>
      <c r="D55" s="401" t="s">
        <v>199</v>
      </c>
      <c r="E55" s="402">
        <f>(0.25*0.45)*2</f>
        <v>0.22500000000000001</v>
      </c>
      <c r="F55" s="403">
        <v>2</v>
      </c>
    </row>
    <row r="56" spans="1:6" ht="18.75" customHeight="1">
      <c r="A56" s="800" t="s">
        <v>524</v>
      </c>
      <c r="B56" s="801"/>
      <c r="C56" s="801"/>
      <c r="D56" s="801"/>
      <c r="E56" s="801"/>
      <c r="F56" s="802"/>
    </row>
    <row r="57" spans="1:6" ht="60" customHeight="1">
      <c r="A57" s="398" t="s">
        <v>515</v>
      </c>
      <c r="B57" s="399" t="s">
        <v>124</v>
      </c>
      <c r="C57" s="400" t="s">
        <v>198</v>
      </c>
      <c r="D57" s="401">
        <v>0.6</v>
      </c>
      <c r="E57" s="402">
        <v>0.28299999999999997</v>
      </c>
      <c r="F57" s="403"/>
    </row>
    <row r="58" spans="1:6" ht="60" customHeight="1">
      <c r="A58" s="398" t="s">
        <v>516</v>
      </c>
      <c r="B58" s="399" t="s">
        <v>141</v>
      </c>
      <c r="C58" s="400" t="s">
        <v>142</v>
      </c>
      <c r="D58" s="401" t="s">
        <v>199</v>
      </c>
      <c r="E58" s="402">
        <f>(0.25*0.45)*2</f>
        <v>0.22500000000000001</v>
      </c>
      <c r="F58" s="403">
        <v>2</v>
      </c>
    </row>
    <row r="59" spans="1:6" ht="18.75">
      <c r="A59" s="809"/>
      <c r="B59" s="810"/>
      <c r="C59" s="810"/>
      <c r="D59" s="810"/>
      <c r="E59" s="810"/>
      <c r="F59" s="811"/>
    </row>
    <row r="60" spans="1:6" ht="19.5">
      <c r="A60" s="423" t="s">
        <v>216</v>
      </c>
      <c r="B60" s="400"/>
      <c r="C60" s="400"/>
      <c r="D60" s="424" t="s">
        <v>217</v>
      </c>
      <c r="E60" s="425">
        <v>3.9620000000000002</v>
      </c>
      <c r="F60" s="426"/>
    </row>
    <row r="61" spans="1:6" ht="20.25" thickBot="1">
      <c r="A61" s="427" t="s">
        <v>218</v>
      </c>
      <c r="B61" s="428"/>
      <c r="C61" s="428"/>
      <c r="D61" s="429" t="s">
        <v>217</v>
      </c>
      <c r="E61" s="950">
        <f>F69</f>
        <v>28</v>
      </c>
      <c r="F61" s="430"/>
    </row>
    <row r="63" spans="1:6">
      <c r="E63" s="360"/>
    </row>
    <row r="64" spans="1:6">
      <c r="E64" s="359"/>
    </row>
    <row r="65" spans="5:6">
      <c r="E65" s="404"/>
    </row>
    <row r="66" spans="5:6">
      <c r="E66" s="405"/>
    </row>
    <row r="67" spans="5:6">
      <c r="E67" s="404"/>
    </row>
    <row r="68" spans="5:6">
      <c r="E68" s="405"/>
    </row>
    <row r="69" spans="5:6">
      <c r="F69" s="949">
        <f>SUM(F6:F68)</f>
        <v>28</v>
      </c>
    </row>
    <row r="70" spans="5:6">
      <c r="E70" s="360"/>
    </row>
    <row r="72" spans="5:6">
      <c r="E72" s="405"/>
    </row>
  </sheetData>
  <mergeCells count="27">
    <mergeCell ref="A53:F53"/>
    <mergeCell ref="A56:F56"/>
    <mergeCell ref="A59:F59"/>
    <mergeCell ref="A40:F40"/>
    <mergeCell ref="A41:F41"/>
    <mergeCell ref="A44:F44"/>
    <mergeCell ref="A45:F45"/>
    <mergeCell ref="A49:F49"/>
    <mergeCell ref="A52:F52"/>
    <mergeCell ref="A28:F28"/>
    <mergeCell ref="A29:F29"/>
    <mergeCell ref="A32:F32"/>
    <mergeCell ref="A33:F33"/>
    <mergeCell ref="A36:F36"/>
    <mergeCell ref="A37:F37"/>
    <mergeCell ref="A16:F16"/>
    <mergeCell ref="A17:F17"/>
    <mergeCell ref="A20:F20"/>
    <mergeCell ref="A21:F21"/>
    <mergeCell ref="A24:F24"/>
    <mergeCell ref="A25:F25"/>
    <mergeCell ref="A1:F2"/>
    <mergeCell ref="A5:F5"/>
    <mergeCell ref="A8:F8"/>
    <mergeCell ref="A9:F9"/>
    <mergeCell ref="A12:F12"/>
    <mergeCell ref="A13:F13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B2:Z382"/>
  <sheetViews>
    <sheetView zoomScaleNormal="100" workbookViewId="0">
      <selection activeCell="B367" sqref="B367:V378"/>
    </sheetView>
  </sheetViews>
  <sheetFormatPr defaultColWidth="9.140625" defaultRowHeight="12.75"/>
  <cols>
    <col min="1" max="1" width="9.140625" style="46"/>
    <col min="2" max="2" width="1" style="297" customWidth="1"/>
    <col min="3" max="3" width="6.140625" style="297" customWidth="1"/>
    <col min="4" max="4" width="2.140625" style="298" customWidth="1"/>
    <col min="5" max="5" width="18.42578125" style="298" customWidth="1"/>
    <col min="6" max="6" width="0.85546875" style="298" customWidth="1"/>
    <col min="7" max="7" width="15.42578125" style="298" customWidth="1"/>
    <col min="8" max="8" width="10.140625" style="298" customWidth="1"/>
    <col min="9" max="9" width="3.140625" style="298" customWidth="1"/>
    <col min="10" max="10" width="8.140625" style="298" customWidth="1"/>
    <col min="11" max="11" width="1" style="297" customWidth="1"/>
    <col min="12" max="12" width="8.140625" style="297" customWidth="1"/>
    <col min="13" max="14" width="1" style="297" customWidth="1"/>
    <col min="15" max="15" width="7.140625" style="297" customWidth="1"/>
    <col min="16" max="17" width="1" style="297" customWidth="1"/>
    <col min="18" max="19" width="2" style="297" customWidth="1"/>
    <col min="20" max="20" width="1" style="297" customWidth="1"/>
    <col min="21" max="21" width="6.140625" style="297" customWidth="1"/>
    <col min="22" max="22" width="1" style="297" customWidth="1"/>
    <col min="23" max="23" width="11.28515625" style="46" bestFit="1" customWidth="1"/>
    <col min="24" max="25" width="9.140625" style="46"/>
    <col min="26" max="26" width="13" style="46" bestFit="1" customWidth="1"/>
    <col min="27" max="16384" width="9.140625" style="46"/>
  </cols>
  <sheetData>
    <row r="2" spans="2:22" ht="17.25" customHeight="1">
      <c r="B2" s="410"/>
      <c r="C2" s="840" t="s">
        <v>297</v>
      </c>
      <c r="D2" s="840"/>
      <c r="E2" s="840"/>
      <c r="F2" s="286"/>
      <c r="G2" s="925" t="s">
        <v>461</v>
      </c>
      <c r="H2" s="925"/>
      <c r="I2" s="925"/>
      <c r="J2" s="925"/>
      <c r="K2" s="925"/>
      <c r="L2" s="925"/>
      <c r="M2" s="287"/>
      <c r="N2" s="836" t="s">
        <v>473</v>
      </c>
      <c r="O2" s="836"/>
      <c r="P2" s="836"/>
      <c r="Q2" s="836"/>
      <c r="R2" s="836"/>
      <c r="S2" s="836"/>
      <c r="T2" s="836"/>
      <c r="U2" s="836"/>
      <c r="V2" s="288"/>
    </row>
    <row r="3" spans="2:22" ht="17.45" customHeight="1">
      <c r="B3" s="289"/>
      <c r="C3" s="853" t="s">
        <v>298</v>
      </c>
      <c r="D3" s="853"/>
      <c r="E3" s="855" t="s">
        <v>463</v>
      </c>
      <c r="F3" s="855"/>
      <c r="G3" s="855"/>
      <c r="H3" s="855"/>
      <c r="I3" s="855"/>
      <c r="J3" s="855"/>
      <c r="K3" s="842" t="s">
        <v>299</v>
      </c>
      <c r="L3" s="842"/>
      <c r="M3" s="290"/>
      <c r="N3" s="843" t="s">
        <v>300</v>
      </c>
      <c r="O3" s="843"/>
      <c r="P3" s="843"/>
      <c r="Q3" s="290"/>
      <c r="R3" s="290"/>
      <c r="S3" s="290"/>
      <c r="T3" s="290"/>
      <c r="U3" s="290"/>
      <c r="V3" s="291"/>
    </row>
    <row r="4" spans="2:22" ht="17.45" customHeight="1">
      <c r="B4" s="292"/>
      <c r="C4" s="854"/>
      <c r="D4" s="854"/>
      <c r="E4" s="856"/>
      <c r="F4" s="856"/>
      <c r="G4" s="856"/>
      <c r="H4" s="856"/>
      <c r="I4" s="856"/>
      <c r="J4" s="856"/>
      <c r="K4" s="844" t="s">
        <v>301</v>
      </c>
      <c r="L4" s="844"/>
      <c r="M4" s="293"/>
      <c r="N4" s="845">
        <v>1</v>
      </c>
      <c r="O4" s="845"/>
      <c r="P4" s="845"/>
      <c r="Q4" s="293"/>
      <c r="R4" s="844" t="s">
        <v>302</v>
      </c>
      <c r="S4" s="844"/>
      <c r="T4" s="293"/>
      <c r="U4" s="294" t="s">
        <v>303</v>
      </c>
      <c r="V4" s="295"/>
    </row>
    <row r="5" spans="2:22" ht="17.45" customHeight="1">
      <c r="B5" s="830" t="s">
        <v>304</v>
      </c>
      <c r="C5" s="830"/>
      <c r="D5" s="831" t="s">
        <v>210</v>
      </c>
      <c r="E5" s="831"/>
      <c r="F5" s="831"/>
      <c r="G5" s="831"/>
      <c r="H5" s="831"/>
      <c r="I5" s="831"/>
      <c r="J5" s="830" t="s">
        <v>211</v>
      </c>
      <c r="K5" s="830"/>
      <c r="L5" s="830" t="s">
        <v>213</v>
      </c>
      <c r="M5" s="830"/>
      <c r="N5" s="830"/>
      <c r="O5" s="831" t="s">
        <v>305</v>
      </c>
      <c r="P5" s="831"/>
      <c r="Q5" s="831"/>
      <c r="R5" s="831"/>
      <c r="S5" s="831" t="s">
        <v>306</v>
      </c>
      <c r="T5" s="831"/>
      <c r="U5" s="831"/>
      <c r="V5" s="831"/>
    </row>
    <row r="6" spans="2:22" ht="17.45" customHeight="1">
      <c r="B6" s="338"/>
      <c r="C6" s="413" t="s">
        <v>307</v>
      </c>
      <c r="D6" s="914" t="s">
        <v>308</v>
      </c>
      <c r="E6" s="915"/>
      <c r="F6" s="915"/>
      <c r="G6" s="915"/>
      <c r="H6" s="915"/>
      <c r="I6" s="916"/>
      <c r="J6" s="917" t="s">
        <v>309</v>
      </c>
      <c r="K6" s="918"/>
      <c r="L6" s="919">
        <v>0.01</v>
      </c>
      <c r="M6" s="920"/>
      <c r="N6" s="921"/>
      <c r="O6" s="885">
        <v>310.35000000000002</v>
      </c>
      <c r="P6" s="886"/>
      <c r="Q6" s="886"/>
      <c r="R6" s="887"/>
      <c r="S6" s="922">
        <f>O6*L6</f>
        <v>3.1035000000000004</v>
      </c>
      <c r="T6" s="923"/>
      <c r="U6" s="923"/>
      <c r="V6" s="924"/>
    </row>
    <row r="7" spans="2:22" ht="17.45" customHeight="1">
      <c r="B7" s="340"/>
      <c r="C7" s="412">
        <v>88262</v>
      </c>
      <c r="D7" s="906" t="s">
        <v>310</v>
      </c>
      <c r="E7" s="907"/>
      <c r="F7" s="907"/>
      <c r="G7" s="907"/>
      <c r="H7" s="907"/>
      <c r="I7" s="908"/>
      <c r="J7" s="909" t="s">
        <v>311</v>
      </c>
      <c r="K7" s="910"/>
      <c r="L7" s="911">
        <v>1</v>
      </c>
      <c r="M7" s="912"/>
      <c r="N7" s="913"/>
      <c r="O7" s="876">
        <v>20.85</v>
      </c>
      <c r="P7" s="877"/>
      <c r="Q7" s="877"/>
      <c r="R7" s="878"/>
      <c r="S7" s="820">
        <f t="shared" ref="S7:S12" si="0">O7*L7</f>
        <v>20.85</v>
      </c>
      <c r="T7" s="814"/>
      <c r="U7" s="814"/>
      <c r="V7" s="815"/>
    </row>
    <row r="8" spans="2:22" ht="17.45" customHeight="1">
      <c r="B8" s="340"/>
      <c r="C8" s="412">
        <v>88316</v>
      </c>
      <c r="D8" s="906" t="s">
        <v>313</v>
      </c>
      <c r="E8" s="907"/>
      <c r="F8" s="907"/>
      <c r="G8" s="907"/>
      <c r="H8" s="907"/>
      <c r="I8" s="908"/>
      <c r="J8" s="909" t="s">
        <v>311</v>
      </c>
      <c r="K8" s="910"/>
      <c r="L8" s="911">
        <v>2</v>
      </c>
      <c r="M8" s="912"/>
      <c r="N8" s="913"/>
      <c r="O8" s="876">
        <v>16.829999999999998</v>
      </c>
      <c r="P8" s="877"/>
      <c r="Q8" s="877"/>
      <c r="R8" s="878"/>
      <c r="S8" s="820">
        <f t="shared" si="0"/>
        <v>33.659999999999997</v>
      </c>
      <c r="T8" s="814"/>
      <c r="U8" s="814"/>
      <c r="V8" s="815"/>
    </row>
    <row r="9" spans="2:22" ht="17.45" customHeight="1">
      <c r="B9" s="340"/>
      <c r="C9" s="412" t="s">
        <v>314</v>
      </c>
      <c r="D9" s="906" t="s">
        <v>315</v>
      </c>
      <c r="E9" s="907"/>
      <c r="F9" s="907"/>
      <c r="G9" s="907"/>
      <c r="H9" s="907"/>
      <c r="I9" s="908"/>
      <c r="J9" s="909" t="s">
        <v>316</v>
      </c>
      <c r="K9" s="910"/>
      <c r="L9" s="911">
        <v>1</v>
      </c>
      <c r="M9" s="912"/>
      <c r="N9" s="913"/>
      <c r="O9" s="876">
        <v>4.8899999999999997</v>
      </c>
      <c r="P9" s="877"/>
      <c r="Q9" s="877"/>
      <c r="R9" s="878"/>
      <c r="S9" s="820">
        <f t="shared" si="0"/>
        <v>4.8899999999999997</v>
      </c>
      <c r="T9" s="814"/>
      <c r="U9" s="814"/>
      <c r="V9" s="815"/>
    </row>
    <row r="10" spans="2:22" ht="17.45" customHeight="1">
      <c r="B10" s="340"/>
      <c r="C10" s="412">
        <v>4491</v>
      </c>
      <c r="D10" s="906" t="s">
        <v>317</v>
      </c>
      <c r="E10" s="907"/>
      <c r="F10" s="907"/>
      <c r="G10" s="907"/>
      <c r="H10" s="907"/>
      <c r="I10" s="908"/>
      <c r="J10" s="909" t="s">
        <v>316</v>
      </c>
      <c r="K10" s="910"/>
      <c r="L10" s="911">
        <v>4</v>
      </c>
      <c r="M10" s="912"/>
      <c r="N10" s="913"/>
      <c r="O10" s="876">
        <v>9.0399999999999991</v>
      </c>
      <c r="P10" s="877"/>
      <c r="Q10" s="877"/>
      <c r="R10" s="878"/>
      <c r="S10" s="820">
        <f t="shared" si="0"/>
        <v>36.159999999999997</v>
      </c>
      <c r="T10" s="814"/>
      <c r="U10" s="814"/>
      <c r="V10" s="815"/>
    </row>
    <row r="11" spans="2:22" ht="17.45" customHeight="1">
      <c r="B11" s="340"/>
      <c r="C11" s="412" t="s">
        <v>318</v>
      </c>
      <c r="D11" s="906" t="s">
        <v>319</v>
      </c>
      <c r="E11" s="907"/>
      <c r="F11" s="907"/>
      <c r="G11" s="907"/>
      <c r="H11" s="907"/>
      <c r="I11" s="908"/>
      <c r="J11" s="909" t="s">
        <v>303</v>
      </c>
      <c r="K11" s="910"/>
      <c r="L11" s="911">
        <v>1</v>
      </c>
      <c r="M11" s="912"/>
      <c r="N11" s="913"/>
      <c r="O11" s="876">
        <v>225</v>
      </c>
      <c r="P11" s="877"/>
      <c r="Q11" s="877"/>
      <c r="R11" s="878"/>
      <c r="S11" s="820">
        <f t="shared" si="0"/>
        <v>225</v>
      </c>
      <c r="T11" s="814"/>
      <c r="U11" s="814"/>
      <c r="V11" s="815"/>
    </row>
    <row r="12" spans="2:22" ht="17.45" customHeight="1">
      <c r="B12" s="339"/>
      <c r="C12" s="412">
        <v>5075</v>
      </c>
      <c r="D12" s="896" t="s">
        <v>320</v>
      </c>
      <c r="E12" s="897"/>
      <c r="F12" s="897"/>
      <c r="G12" s="897"/>
      <c r="H12" s="897"/>
      <c r="I12" s="898"/>
      <c r="J12" s="899" t="s">
        <v>321</v>
      </c>
      <c r="K12" s="900"/>
      <c r="L12" s="901">
        <v>0.11</v>
      </c>
      <c r="M12" s="902"/>
      <c r="N12" s="903"/>
      <c r="O12" s="865">
        <v>24.41</v>
      </c>
      <c r="P12" s="866"/>
      <c r="Q12" s="866"/>
      <c r="R12" s="867"/>
      <c r="S12" s="837">
        <f t="shared" si="0"/>
        <v>2.6850999999999998</v>
      </c>
      <c r="T12" s="838"/>
      <c r="U12" s="838"/>
      <c r="V12" s="839"/>
    </row>
    <row r="13" spans="2:22" ht="17.45" customHeight="1">
      <c r="B13" s="825"/>
      <c r="C13" s="904"/>
      <c r="D13" s="904"/>
      <c r="E13" s="904"/>
      <c r="F13" s="904"/>
      <c r="G13" s="904"/>
      <c r="H13" s="904"/>
      <c r="I13" s="826" t="s">
        <v>322</v>
      </c>
      <c r="J13" s="826"/>
      <c r="K13" s="826"/>
      <c r="L13" s="826"/>
      <c r="M13" s="826"/>
      <c r="N13" s="826"/>
      <c r="O13" s="826"/>
      <c r="P13" s="826"/>
      <c r="Q13" s="826"/>
      <c r="R13" s="826"/>
      <c r="S13" s="905">
        <f>SUM(S6:V12)</f>
        <v>326.34859999999998</v>
      </c>
      <c r="T13" s="905"/>
      <c r="U13" s="905"/>
      <c r="V13" s="827"/>
    </row>
    <row r="14" spans="2:22" ht="17.45" customHeight="1">
      <c r="B14" s="893"/>
      <c r="C14" s="894"/>
      <c r="D14" s="894"/>
      <c r="E14" s="894"/>
      <c r="F14" s="894"/>
      <c r="G14" s="894"/>
      <c r="H14" s="894"/>
      <c r="I14" s="894"/>
      <c r="J14" s="894"/>
      <c r="K14" s="894"/>
      <c r="L14" s="894"/>
      <c r="M14" s="894"/>
      <c r="N14" s="894"/>
      <c r="O14" s="894"/>
      <c r="P14" s="894"/>
      <c r="Q14" s="894"/>
      <c r="R14" s="894"/>
      <c r="S14" s="894"/>
      <c r="T14" s="894"/>
      <c r="U14" s="894"/>
      <c r="V14" s="895"/>
    </row>
    <row r="15" spans="2:22" ht="17.45" customHeight="1">
      <c r="B15" s="812"/>
      <c r="C15" s="892"/>
      <c r="D15" s="892"/>
      <c r="E15" s="892"/>
      <c r="F15" s="892"/>
      <c r="G15" s="892"/>
      <c r="H15" s="892"/>
      <c r="I15" s="813" t="s">
        <v>323</v>
      </c>
      <c r="J15" s="813"/>
      <c r="K15" s="813"/>
      <c r="L15" s="813"/>
      <c r="M15" s="813"/>
      <c r="N15" s="813"/>
      <c r="O15" s="813"/>
      <c r="P15" s="813"/>
      <c r="Q15" s="813"/>
      <c r="R15" s="813"/>
      <c r="S15" s="814">
        <f>S13</f>
        <v>326.34859999999998</v>
      </c>
      <c r="T15" s="814"/>
      <c r="U15" s="814"/>
      <c r="V15" s="815"/>
    </row>
    <row r="16" spans="2:22" ht="17.45" customHeight="1">
      <c r="B16" s="812"/>
      <c r="C16" s="892"/>
      <c r="D16" s="892"/>
      <c r="E16" s="892"/>
      <c r="F16" s="892"/>
      <c r="G16" s="892"/>
      <c r="H16" s="813" t="s">
        <v>324</v>
      </c>
      <c r="I16" s="813"/>
      <c r="J16" s="813"/>
      <c r="K16" s="813"/>
      <c r="L16" s="813"/>
      <c r="M16" s="829">
        <v>20.7</v>
      </c>
      <c r="N16" s="829"/>
      <c r="O16" s="829"/>
      <c r="P16" s="813" t="s">
        <v>325</v>
      </c>
      <c r="Q16" s="813"/>
      <c r="R16" s="813"/>
      <c r="S16" s="814">
        <f>TRUNC(S15*M16%,2)</f>
        <v>67.55</v>
      </c>
      <c r="T16" s="814"/>
      <c r="U16" s="814"/>
      <c r="V16" s="815"/>
    </row>
    <row r="17" spans="2:22" ht="17.45" customHeight="1">
      <c r="B17" s="812"/>
      <c r="C17" s="892"/>
      <c r="D17" s="892"/>
      <c r="E17" s="892"/>
      <c r="F17" s="892"/>
      <c r="G17" s="892"/>
      <c r="H17" s="892"/>
      <c r="I17" s="813" t="s">
        <v>326</v>
      </c>
      <c r="J17" s="813"/>
      <c r="K17" s="813"/>
      <c r="L17" s="813"/>
      <c r="M17" s="813"/>
      <c r="N17" s="813"/>
      <c r="O17" s="813"/>
      <c r="P17" s="813"/>
      <c r="Q17" s="813"/>
      <c r="R17" s="813"/>
      <c r="S17" s="814">
        <f>S15+S16</f>
        <v>393.89859999999999</v>
      </c>
      <c r="T17" s="814"/>
      <c r="U17" s="814"/>
      <c r="V17" s="815"/>
    </row>
    <row r="18" spans="2:22" ht="144.94999999999999" customHeight="1">
      <c r="B18" s="296"/>
      <c r="V18" s="299"/>
    </row>
    <row r="19" spans="2:22" ht="144.94999999999999" customHeight="1">
      <c r="B19" s="296"/>
      <c r="V19" s="299"/>
    </row>
    <row r="20" spans="2:22" ht="144.94999999999999" customHeight="1">
      <c r="B20" s="296"/>
      <c r="V20" s="299"/>
    </row>
    <row r="21" spans="2:22" ht="17.45" customHeight="1">
      <c r="B21" s="292"/>
      <c r="C21" s="293"/>
      <c r="D21" s="300"/>
      <c r="E21" s="300"/>
      <c r="F21" s="300"/>
      <c r="G21" s="300"/>
      <c r="H21" s="300"/>
      <c r="I21" s="300"/>
      <c r="J21" s="300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5"/>
    </row>
    <row r="22" spans="2:22" ht="17.45" customHeight="1">
      <c r="B22" s="410"/>
      <c r="C22" s="840" t="s">
        <v>297</v>
      </c>
      <c r="D22" s="840"/>
      <c r="E22" s="840"/>
      <c r="F22" s="286"/>
      <c r="G22" s="835" t="s">
        <v>462</v>
      </c>
      <c r="H22" s="835"/>
      <c r="I22" s="835"/>
      <c r="J22" s="835"/>
      <c r="K22" s="835"/>
      <c r="L22" s="835"/>
      <c r="M22" s="287"/>
      <c r="N22" s="836" t="s">
        <v>473</v>
      </c>
      <c r="O22" s="836"/>
      <c r="P22" s="836"/>
      <c r="Q22" s="836"/>
      <c r="R22" s="836"/>
      <c r="S22" s="836"/>
      <c r="T22" s="836"/>
      <c r="U22" s="836"/>
      <c r="V22" s="288"/>
    </row>
    <row r="23" spans="2:22" ht="17.45" customHeight="1">
      <c r="B23" s="289"/>
      <c r="C23" s="840" t="s">
        <v>298</v>
      </c>
      <c r="D23" s="840"/>
      <c r="E23" s="841" t="s">
        <v>53</v>
      </c>
      <c r="F23" s="841"/>
      <c r="G23" s="841"/>
      <c r="H23" s="841"/>
      <c r="I23" s="841"/>
      <c r="J23" s="841"/>
      <c r="K23" s="842" t="s">
        <v>299</v>
      </c>
      <c r="L23" s="842"/>
      <c r="M23" s="290"/>
      <c r="N23" s="843" t="s">
        <v>328</v>
      </c>
      <c r="O23" s="843"/>
      <c r="P23" s="843"/>
      <c r="Q23" s="290"/>
      <c r="R23" s="290"/>
      <c r="S23" s="290"/>
      <c r="T23" s="290"/>
      <c r="U23" s="290"/>
      <c r="V23" s="291"/>
    </row>
    <row r="24" spans="2:22" ht="17.45" customHeight="1">
      <c r="B24" s="292"/>
      <c r="C24" s="840"/>
      <c r="D24" s="840"/>
      <c r="E24" s="841"/>
      <c r="F24" s="841"/>
      <c r="G24" s="841"/>
      <c r="H24" s="841"/>
      <c r="I24" s="841"/>
      <c r="J24" s="841"/>
      <c r="K24" s="844" t="s">
        <v>301</v>
      </c>
      <c r="L24" s="844"/>
      <c r="M24" s="293"/>
      <c r="N24" s="845">
        <v>1</v>
      </c>
      <c r="O24" s="845"/>
      <c r="P24" s="845"/>
      <c r="Q24" s="293"/>
      <c r="R24" s="844" t="s">
        <v>302</v>
      </c>
      <c r="S24" s="844"/>
      <c r="T24" s="293"/>
      <c r="U24" s="294" t="s">
        <v>54</v>
      </c>
      <c r="V24" s="295"/>
    </row>
    <row r="25" spans="2:22" ht="17.45" customHeight="1">
      <c r="B25" s="830" t="s">
        <v>304</v>
      </c>
      <c r="C25" s="830"/>
      <c r="D25" s="831" t="s">
        <v>210</v>
      </c>
      <c r="E25" s="831"/>
      <c r="F25" s="831"/>
      <c r="G25" s="831"/>
      <c r="H25" s="831"/>
      <c r="I25" s="831"/>
      <c r="J25" s="830" t="s">
        <v>211</v>
      </c>
      <c r="K25" s="830"/>
      <c r="L25" s="830" t="s">
        <v>213</v>
      </c>
      <c r="M25" s="830"/>
      <c r="N25" s="830"/>
      <c r="O25" s="831" t="s">
        <v>305</v>
      </c>
      <c r="P25" s="831"/>
      <c r="Q25" s="831"/>
      <c r="R25" s="831"/>
      <c r="S25" s="831" t="s">
        <v>306</v>
      </c>
      <c r="T25" s="831"/>
      <c r="U25" s="831"/>
      <c r="V25" s="831"/>
    </row>
    <row r="26" spans="2:22" ht="17.45" customHeight="1">
      <c r="B26" s="341"/>
      <c r="C26" s="415">
        <v>10776</v>
      </c>
      <c r="D26" s="848" t="s">
        <v>329</v>
      </c>
      <c r="E26" s="848"/>
      <c r="F26" s="848"/>
      <c r="G26" s="848"/>
      <c r="H26" s="848"/>
      <c r="I26" s="848"/>
      <c r="J26" s="850">
        <v>1</v>
      </c>
      <c r="K26" s="850"/>
      <c r="L26" s="891">
        <v>1</v>
      </c>
      <c r="M26" s="891"/>
      <c r="N26" s="891"/>
      <c r="O26" s="851">
        <v>590.62</v>
      </c>
      <c r="P26" s="851"/>
      <c r="Q26" s="851"/>
      <c r="R26" s="851"/>
      <c r="S26" s="852">
        <f>O26*L26</f>
        <v>590.62</v>
      </c>
      <c r="T26" s="852"/>
      <c r="U26" s="852"/>
      <c r="V26" s="852"/>
    </row>
    <row r="27" spans="2:22" ht="17.45" customHeight="1">
      <c r="B27" s="825"/>
      <c r="C27" s="825"/>
      <c r="D27" s="825"/>
      <c r="E27" s="825"/>
      <c r="F27" s="825"/>
      <c r="G27" s="825"/>
      <c r="H27" s="825"/>
      <c r="I27" s="826" t="s">
        <v>322</v>
      </c>
      <c r="J27" s="826"/>
      <c r="K27" s="826"/>
      <c r="L27" s="826"/>
      <c r="M27" s="826"/>
      <c r="N27" s="826"/>
      <c r="O27" s="826"/>
      <c r="P27" s="826"/>
      <c r="Q27" s="826"/>
      <c r="R27" s="826"/>
      <c r="S27" s="827">
        <f>S26</f>
        <v>590.62</v>
      </c>
      <c r="T27" s="827"/>
      <c r="U27" s="827"/>
      <c r="V27" s="827"/>
    </row>
    <row r="28" spans="2:22" ht="17.45" customHeight="1">
      <c r="B28" s="828"/>
      <c r="C28" s="828"/>
      <c r="D28" s="828"/>
      <c r="E28" s="828"/>
      <c r="F28" s="828"/>
      <c r="G28" s="828"/>
      <c r="H28" s="828"/>
      <c r="I28" s="828"/>
      <c r="J28" s="828"/>
      <c r="K28" s="828"/>
      <c r="L28" s="828"/>
      <c r="M28" s="828"/>
      <c r="N28" s="828"/>
      <c r="O28" s="828"/>
      <c r="P28" s="828"/>
      <c r="Q28" s="828"/>
      <c r="R28" s="828"/>
      <c r="S28" s="828"/>
      <c r="T28" s="828"/>
      <c r="U28" s="828"/>
      <c r="V28" s="828"/>
    </row>
    <row r="29" spans="2:22" ht="17.45" customHeight="1">
      <c r="B29" s="812"/>
      <c r="C29" s="812"/>
      <c r="D29" s="812"/>
      <c r="E29" s="812"/>
      <c r="F29" s="812"/>
      <c r="G29" s="812"/>
      <c r="H29" s="812"/>
      <c r="I29" s="813" t="s">
        <v>323</v>
      </c>
      <c r="J29" s="813"/>
      <c r="K29" s="813"/>
      <c r="L29" s="813"/>
      <c r="M29" s="813"/>
      <c r="N29" s="813"/>
      <c r="O29" s="813"/>
      <c r="P29" s="813"/>
      <c r="Q29" s="813"/>
      <c r="R29" s="813"/>
      <c r="S29" s="814">
        <f>S27</f>
        <v>590.62</v>
      </c>
      <c r="T29" s="814"/>
      <c r="U29" s="814"/>
      <c r="V29" s="815"/>
    </row>
    <row r="30" spans="2:22" ht="17.45" customHeight="1">
      <c r="B30" s="812"/>
      <c r="C30" s="812"/>
      <c r="D30" s="812"/>
      <c r="E30" s="812"/>
      <c r="F30" s="812"/>
      <c r="G30" s="812"/>
      <c r="H30" s="813" t="s">
        <v>324</v>
      </c>
      <c r="I30" s="813"/>
      <c r="J30" s="813"/>
      <c r="K30" s="813"/>
      <c r="L30" s="813"/>
      <c r="M30" s="829">
        <v>20.7</v>
      </c>
      <c r="N30" s="829"/>
      <c r="O30" s="829"/>
      <c r="P30" s="813" t="s">
        <v>325</v>
      </c>
      <c r="Q30" s="813"/>
      <c r="R30" s="813"/>
      <c r="S30" s="814">
        <f>TRUNC(S29*M30%,2)</f>
        <v>122.25</v>
      </c>
      <c r="T30" s="814"/>
      <c r="U30" s="814"/>
      <c r="V30" s="815"/>
    </row>
    <row r="31" spans="2:22" ht="17.45" customHeight="1">
      <c r="B31" s="812"/>
      <c r="C31" s="812"/>
      <c r="D31" s="812"/>
      <c r="E31" s="812"/>
      <c r="F31" s="812"/>
      <c r="G31" s="812"/>
      <c r="H31" s="812"/>
      <c r="I31" s="813" t="s">
        <v>326</v>
      </c>
      <c r="J31" s="813"/>
      <c r="K31" s="813"/>
      <c r="L31" s="813"/>
      <c r="M31" s="813"/>
      <c r="N31" s="813"/>
      <c r="O31" s="813"/>
      <c r="P31" s="813"/>
      <c r="Q31" s="813"/>
      <c r="R31" s="813"/>
      <c r="S31" s="814">
        <f>S29+S30</f>
        <v>712.87</v>
      </c>
      <c r="T31" s="814"/>
      <c r="U31" s="814"/>
      <c r="V31" s="815"/>
    </row>
    <row r="32" spans="2:22" ht="17.45" customHeight="1">
      <c r="B32" s="296"/>
      <c r="V32" s="299"/>
    </row>
    <row r="33" spans="2:26" ht="17.45" customHeight="1">
      <c r="B33" s="296"/>
      <c r="V33" s="299"/>
    </row>
    <row r="34" spans="2:26" ht="409.6" customHeight="1">
      <c r="B34" s="296"/>
      <c r="V34" s="299"/>
    </row>
    <row r="35" spans="2:26" ht="98.25" customHeight="1">
      <c r="B35" s="296"/>
      <c r="V35" s="299"/>
    </row>
    <row r="36" spans="2:26" ht="17.45" customHeight="1">
      <c r="B36" s="292"/>
      <c r="C36" s="293"/>
      <c r="D36" s="300"/>
      <c r="E36" s="300"/>
      <c r="F36" s="300"/>
      <c r="G36" s="300"/>
      <c r="H36" s="300"/>
      <c r="I36" s="300"/>
      <c r="J36" s="300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3"/>
      <c r="V36" s="295"/>
    </row>
    <row r="37" spans="2:26" ht="17.45" customHeight="1">
      <c r="B37" s="410"/>
      <c r="C37" s="840" t="s">
        <v>297</v>
      </c>
      <c r="D37" s="840"/>
      <c r="E37" s="840"/>
      <c r="F37" s="286"/>
      <c r="G37" s="835" t="s">
        <v>462</v>
      </c>
      <c r="H37" s="835"/>
      <c r="I37" s="835"/>
      <c r="J37" s="835"/>
      <c r="K37" s="835"/>
      <c r="L37" s="835"/>
      <c r="M37" s="287"/>
      <c r="N37" s="836" t="s">
        <v>473</v>
      </c>
      <c r="O37" s="836"/>
      <c r="P37" s="836"/>
      <c r="Q37" s="836"/>
      <c r="R37" s="836"/>
      <c r="S37" s="836"/>
      <c r="T37" s="836"/>
      <c r="U37" s="836"/>
      <c r="V37" s="288"/>
    </row>
    <row r="38" spans="2:26" ht="17.45" customHeight="1">
      <c r="B38" s="289"/>
      <c r="C38" s="840" t="s">
        <v>298</v>
      </c>
      <c r="D38" s="840"/>
      <c r="E38" s="841" t="s">
        <v>151</v>
      </c>
      <c r="F38" s="841"/>
      <c r="G38" s="841"/>
      <c r="H38" s="841"/>
      <c r="I38" s="841"/>
      <c r="J38" s="841"/>
      <c r="K38" s="842" t="s">
        <v>299</v>
      </c>
      <c r="L38" s="842"/>
      <c r="M38" s="290"/>
      <c r="N38" s="843" t="s">
        <v>330</v>
      </c>
      <c r="O38" s="843"/>
      <c r="P38" s="843"/>
      <c r="Q38" s="290"/>
      <c r="R38" s="290"/>
      <c r="S38" s="290"/>
      <c r="T38" s="290"/>
      <c r="U38" s="290"/>
      <c r="V38" s="291"/>
    </row>
    <row r="39" spans="2:26" ht="17.45" customHeight="1">
      <c r="B39" s="292"/>
      <c r="C39" s="840"/>
      <c r="D39" s="840"/>
      <c r="E39" s="841"/>
      <c r="F39" s="841"/>
      <c r="G39" s="841"/>
      <c r="H39" s="841"/>
      <c r="I39" s="841"/>
      <c r="J39" s="841"/>
      <c r="K39" s="844" t="s">
        <v>301</v>
      </c>
      <c r="L39" s="844"/>
      <c r="M39" s="293"/>
      <c r="N39" s="845">
        <v>1</v>
      </c>
      <c r="O39" s="845"/>
      <c r="P39" s="845"/>
      <c r="Q39" s="293"/>
      <c r="R39" s="844" t="s">
        <v>302</v>
      </c>
      <c r="S39" s="844"/>
      <c r="T39" s="293"/>
      <c r="U39" s="294" t="s">
        <v>331</v>
      </c>
      <c r="V39" s="295"/>
    </row>
    <row r="40" spans="2:26" ht="17.45" customHeight="1">
      <c r="B40" s="889" t="s">
        <v>304</v>
      </c>
      <c r="C40" s="889"/>
      <c r="D40" s="890" t="s">
        <v>210</v>
      </c>
      <c r="E40" s="890"/>
      <c r="F40" s="890"/>
      <c r="G40" s="890"/>
      <c r="H40" s="890"/>
      <c r="I40" s="890"/>
      <c r="J40" s="889" t="s">
        <v>211</v>
      </c>
      <c r="K40" s="889"/>
      <c r="L40" s="889" t="s">
        <v>213</v>
      </c>
      <c r="M40" s="889"/>
      <c r="N40" s="889"/>
      <c r="O40" s="890" t="s">
        <v>305</v>
      </c>
      <c r="P40" s="890"/>
      <c r="Q40" s="890"/>
      <c r="R40" s="890"/>
      <c r="S40" s="890" t="s">
        <v>306</v>
      </c>
      <c r="T40" s="890"/>
      <c r="U40" s="890"/>
      <c r="V40" s="890"/>
    </row>
    <row r="41" spans="2:26" ht="17.45" customHeight="1">
      <c r="B41" s="289"/>
      <c r="C41" s="416">
        <v>93564</v>
      </c>
      <c r="D41" s="882" t="s">
        <v>332</v>
      </c>
      <c r="E41" s="882"/>
      <c r="F41" s="882"/>
      <c r="G41" s="882"/>
      <c r="H41" s="882"/>
      <c r="I41" s="882"/>
      <c r="J41" s="883" t="s">
        <v>212</v>
      </c>
      <c r="K41" s="883"/>
      <c r="L41" s="884">
        <v>1</v>
      </c>
      <c r="M41" s="884"/>
      <c r="N41" s="884"/>
      <c r="O41" s="885">
        <v>3047.7</v>
      </c>
      <c r="P41" s="886"/>
      <c r="Q41" s="886"/>
      <c r="R41" s="887"/>
      <c r="S41" s="888">
        <f>L41*O41</f>
        <v>3047.7</v>
      </c>
      <c r="T41" s="888"/>
      <c r="U41" s="888"/>
      <c r="V41" s="888"/>
      <c r="W41" s="242"/>
    </row>
    <row r="42" spans="2:26" ht="17.45" customHeight="1">
      <c r="B42" s="296"/>
      <c r="C42" s="417">
        <v>93565</v>
      </c>
      <c r="D42" s="873" t="s">
        <v>333</v>
      </c>
      <c r="E42" s="873"/>
      <c r="F42" s="873"/>
      <c r="G42" s="873"/>
      <c r="H42" s="873"/>
      <c r="I42" s="873"/>
      <c r="J42" s="874" t="s">
        <v>212</v>
      </c>
      <c r="K42" s="874"/>
      <c r="L42" s="875">
        <v>0.5</v>
      </c>
      <c r="M42" s="875"/>
      <c r="N42" s="875"/>
      <c r="O42" s="876">
        <v>16537.740000000002</v>
      </c>
      <c r="P42" s="877"/>
      <c r="Q42" s="877"/>
      <c r="R42" s="878"/>
      <c r="S42" s="879">
        <f t="shared" ref="S42:S47" si="1">L42*O42</f>
        <v>8268.8700000000008</v>
      </c>
      <c r="T42" s="880"/>
      <c r="U42" s="880"/>
      <c r="V42" s="881"/>
      <c r="W42" s="242"/>
    </row>
    <row r="43" spans="2:26" ht="17.45" customHeight="1">
      <c r="B43" s="296"/>
      <c r="C43" s="417" t="s">
        <v>334</v>
      </c>
      <c r="D43" s="873" t="s">
        <v>335</v>
      </c>
      <c r="E43" s="873"/>
      <c r="F43" s="873"/>
      <c r="G43" s="873"/>
      <c r="H43" s="873"/>
      <c r="I43" s="873"/>
      <c r="J43" s="874" t="s">
        <v>212</v>
      </c>
      <c r="K43" s="874"/>
      <c r="L43" s="875">
        <v>1</v>
      </c>
      <c r="M43" s="875"/>
      <c r="N43" s="875"/>
      <c r="O43" s="876">
        <v>4200.88</v>
      </c>
      <c r="P43" s="877"/>
      <c r="Q43" s="877"/>
      <c r="R43" s="878"/>
      <c r="S43" s="879">
        <f t="shared" si="1"/>
        <v>4200.88</v>
      </c>
      <c r="T43" s="880"/>
      <c r="U43" s="880"/>
      <c r="V43" s="881"/>
      <c r="W43" s="242"/>
    </row>
    <row r="44" spans="2:26" ht="17.45" customHeight="1">
      <c r="B44" s="296"/>
      <c r="C44" s="417">
        <v>94296</v>
      </c>
      <c r="D44" s="873" t="s">
        <v>336</v>
      </c>
      <c r="E44" s="873"/>
      <c r="F44" s="873"/>
      <c r="G44" s="873"/>
      <c r="H44" s="873"/>
      <c r="I44" s="873"/>
      <c r="J44" s="874" t="s">
        <v>212</v>
      </c>
      <c r="K44" s="874"/>
      <c r="L44" s="875">
        <v>0.5</v>
      </c>
      <c r="M44" s="875"/>
      <c r="N44" s="875"/>
      <c r="O44" s="876">
        <v>3123.77</v>
      </c>
      <c r="P44" s="877"/>
      <c r="Q44" s="877"/>
      <c r="R44" s="878"/>
      <c r="S44" s="879">
        <f t="shared" si="1"/>
        <v>1561.885</v>
      </c>
      <c r="T44" s="880"/>
      <c r="U44" s="880"/>
      <c r="V44" s="881"/>
      <c r="W44" s="242"/>
    </row>
    <row r="45" spans="2:26" ht="17.45" customHeight="1">
      <c r="B45" s="296"/>
      <c r="C45" s="417">
        <v>101385</v>
      </c>
      <c r="D45" s="873" t="s">
        <v>337</v>
      </c>
      <c r="E45" s="873"/>
      <c r="F45" s="873"/>
      <c r="G45" s="873"/>
      <c r="H45" s="873"/>
      <c r="I45" s="873"/>
      <c r="J45" s="874" t="s">
        <v>212</v>
      </c>
      <c r="K45" s="874"/>
      <c r="L45" s="875">
        <v>0.5</v>
      </c>
      <c r="M45" s="875"/>
      <c r="N45" s="875"/>
      <c r="O45" s="876">
        <v>4185.8</v>
      </c>
      <c r="P45" s="877"/>
      <c r="Q45" s="877"/>
      <c r="R45" s="878"/>
      <c r="S45" s="879">
        <f t="shared" si="1"/>
        <v>2092.9</v>
      </c>
      <c r="T45" s="880"/>
      <c r="U45" s="880"/>
      <c r="V45" s="881"/>
      <c r="W45" s="242"/>
      <c r="Z45" s="301"/>
    </row>
    <row r="46" spans="2:26" ht="17.45" customHeight="1">
      <c r="B46" s="296"/>
      <c r="C46" s="417" t="s">
        <v>338</v>
      </c>
      <c r="D46" s="873" t="s">
        <v>339</v>
      </c>
      <c r="E46" s="873"/>
      <c r="F46" s="873"/>
      <c r="G46" s="873"/>
      <c r="H46" s="873"/>
      <c r="I46" s="873"/>
      <c r="J46" s="874" t="s">
        <v>212</v>
      </c>
      <c r="K46" s="874"/>
      <c r="L46" s="875">
        <v>0.5</v>
      </c>
      <c r="M46" s="875"/>
      <c r="N46" s="875"/>
      <c r="O46" s="876">
        <v>1450.2</v>
      </c>
      <c r="P46" s="877"/>
      <c r="Q46" s="877"/>
      <c r="R46" s="878"/>
      <c r="S46" s="879">
        <f t="shared" si="1"/>
        <v>725.1</v>
      </c>
      <c r="T46" s="880"/>
      <c r="U46" s="880"/>
      <c r="V46" s="881"/>
      <c r="W46" s="242"/>
      <c r="Z46" s="302"/>
    </row>
    <row r="47" spans="2:26" ht="17.45" customHeight="1">
      <c r="B47" s="292"/>
      <c r="C47" s="418" t="s">
        <v>340</v>
      </c>
      <c r="D47" s="862" t="s">
        <v>341</v>
      </c>
      <c r="E47" s="862"/>
      <c r="F47" s="862"/>
      <c r="G47" s="862"/>
      <c r="H47" s="862"/>
      <c r="I47" s="862"/>
      <c r="J47" s="863" t="s">
        <v>212</v>
      </c>
      <c r="K47" s="863"/>
      <c r="L47" s="864">
        <v>0.5</v>
      </c>
      <c r="M47" s="864"/>
      <c r="N47" s="864"/>
      <c r="O47" s="865">
        <v>4377.17</v>
      </c>
      <c r="P47" s="866"/>
      <c r="Q47" s="866"/>
      <c r="R47" s="867"/>
      <c r="S47" s="868">
        <f t="shared" si="1"/>
        <v>2188.585</v>
      </c>
      <c r="T47" s="869"/>
      <c r="U47" s="869"/>
      <c r="V47" s="870"/>
      <c r="W47" s="242"/>
    </row>
    <row r="48" spans="2:26" ht="17.45" customHeight="1">
      <c r="B48" s="871"/>
      <c r="C48" s="871"/>
      <c r="D48" s="871"/>
      <c r="E48" s="871"/>
      <c r="F48" s="871"/>
      <c r="G48" s="871"/>
      <c r="H48" s="871"/>
      <c r="I48" s="835" t="s">
        <v>322</v>
      </c>
      <c r="J48" s="835"/>
      <c r="K48" s="835"/>
      <c r="L48" s="835"/>
      <c r="M48" s="835"/>
      <c r="N48" s="835"/>
      <c r="O48" s="835"/>
      <c r="P48" s="835"/>
      <c r="Q48" s="835"/>
      <c r="R48" s="835"/>
      <c r="S48" s="872">
        <f>SUM(S41:V47)</f>
        <v>22085.919999999998</v>
      </c>
      <c r="T48" s="872"/>
      <c r="U48" s="872"/>
      <c r="V48" s="872"/>
      <c r="W48" s="303"/>
    </row>
    <row r="49" spans="2:23" ht="17.45" customHeight="1">
      <c r="B49" s="860"/>
      <c r="C49" s="860"/>
      <c r="D49" s="860"/>
      <c r="E49" s="860"/>
      <c r="F49" s="860"/>
      <c r="G49" s="860"/>
      <c r="H49" s="860"/>
      <c r="I49" s="860"/>
      <c r="J49" s="860"/>
      <c r="K49" s="860"/>
      <c r="L49" s="860"/>
      <c r="M49" s="860"/>
      <c r="N49" s="860"/>
      <c r="O49" s="860"/>
      <c r="P49" s="860"/>
      <c r="Q49" s="860"/>
      <c r="R49" s="860"/>
      <c r="S49" s="860"/>
      <c r="T49" s="860"/>
      <c r="U49" s="860"/>
      <c r="V49" s="860"/>
    </row>
    <row r="50" spans="2:23" ht="17.45" customHeight="1">
      <c r="B50" s="858"/>
      <c r="C50" s="858"/>
      <c r="D50" s="858"/>
      <c r="E50" s="858"/>
      <c r="F50" s="858"/>
      <c r="G50" s="858"/>
      <c r="H50" s="858"/>
      <c r="I50" s="859" t="s">
        <v>323</v>
      </c>
      <c r="J50" s="859"/>
      <c r="K50" s="859"/>
      <c r="L50" s="859"/>
      <c r="M50" s="859"/>
      <c r="N50" s="859"/>
      <c r="O50" s="859"/>
      <c r="P50" s="859"/>
      <c r="Q50" s="859"/>
      <c r="R50" s="859"/>
      <c r="S50" s="814">
        <f>S48</f>
        <v>22085.919999999998</v>
      </c>
      <c r="T50" s="814"/>
      <c r="U50" s="814"/>
      <c r="V50" s="815"/>
      <c r="W50" s="303"/>
    </row>
    <row r="51" spans="2:23" ht="17.45" customHeight="1">
      <c r="B51" s="858"/>
      <c r="C51" s="858"/>
      <c r="D51" s="858"/>
      <c r="E51" s="858"/>
      <c r="F51" s="858"/>
      <c r="G51" s="858"/>
      <c r="H51" s="859" t="s">
        <v>324</v>
      </c>
      <c r="I51" s="859"/>
      <c r="J51" s="859"/>
      <c r="K51" s="859"/>
      <c r="L51" s="859"/>
      <c r="M51" s="861">
        <v>20.7</v>
      </c>
      <c r="N51" s="861"/>
      <c r="O51" s="861"/>
      <c r="P51" s="859" t="s">
        <v>325</v>
      </c>
      <c r="Q51" s="859"/>
      <c r="R51" s="859"/>
      <c r="S51" s="814">
        <f>TRUNC(S50*M51%,2)</f>
        <v>4571.78</v>
      </c>
      <c r="T51" s="814"/>
      <c r="U51" s="814"/>
      <c r="V51" s="815"/>
      <c r="W51" s="304"/>
    </row>
    <row r="52" spans="2:23" ht="17.45" customHeight="1">
      <c r="B52" s="858"/>
      <c r="C52" s="858"/>
      <c r="D52" s="858"/>
      <c r="E52" s="858"/>
      <c r="F52" s="858"/>
      <c r="G52" s="858"/>
      <c r="H52" s="858"/>
      <c r="I52" s="859" t="s">
        <v>326</v>
      </c>
      <c r="J52" s="859"/>
      <c r="K52" s="859"/>
      <c r="L52" s="859"/>
      <c r="M52" s="859"/>
      <c r="N52" s="859"/>
      <c r="O52" s="859"/>
      <c r="P52" s="859"/>
      <c r="Q52" s="859"/>
      <c r="R52" s="859"/>
      <c r="S52" s="814">
        <f>S50+S51</f>
        <v>26657.699999999997</v>
      </c>
      <c r="T52" s="814"/>
      <c r="U52" s="814"/>
      <c r="V52" s="815"/>
      <c r="W52" s="303"/>
    </row>
    <row r="53" spans="2:23" ht="144.94999999999999" customHeight="1">
      <c r="B53" s="296"/>
      <c r="V53" s="299"/>
    </row>
    <row r="54" spans="2:23" ht="144.94999999999999" customHeight="1">
      <c r="B54" s="296"/>
      <c r="V54" s="299"/>
    </row>
    <row r="55" spans="2:23" ht="144.94999999999999" customHeight="1">
      <c r="B55" s="296"/>
      <c r="V55" s="299"/>
    </row>
    <row r="56" spans="2:23" ht="17.45" customHeight="1">
      <c r="B56" s="292"/>
      <c r="C56" s="293"/>
      <c r="D56" s="300"/>
      <c r="E56" s="300"/>
      <c r="F56" s="300"/>
      <c r="G56" s="300"/>
      <c r="H56" s="300"/>
      <c r="I56" s="300"/>
      <c r="J56" s="300"/>
      <c r="K56" s="293"/>
      <c r="L56" s="293"/>
      <c r="M56" s="293"/>
      <c r="N56" s="293"/>
      <c r="O56" s="293"/>
      <c r="P56" s="293"/>
      <c r="Q56" s="293"/>
      <c r="R56" s="293"/>
      <c r="S56" s="293"/>
      <c r="T56" s="293"/>
      <c r="U56" s="293"/>
      <c r="V56" s="295"/>
    </row>
    <row r="57" spans="2:23" ht="17.45" customHeight="1">
      <c r="B57" s="410"/>
      <c r="C57" s="840" t="s">
        <v>297</v>
      </c>
      <c r="D57" s="840"/>
      <c r="E57" s="840"/>
      <c r="F57" s="286"/>
      <c r="G57" s="835" t="s">
        <v>462</v>
      </c>
      <c r="H57" s="835"/>
      <c r="I57" s="835"/>
      <c r="J57" s="835"/>
      <c r="K57" s="835"/>
      <c r="L57" s="835"/>
      <c r="M57" s="287"/>
      <c r="N57" s="836" t="s">
        <v>473</v>
      </c>
      <c r="O57" s="836"/>
      <c r="P57" s="836"/>
      <c r="Q57" s="836"/>
      <c r="R57" s="836"/>
      <c r="S57" s="836"/>
      <c r="T57" s="836"/>
      <c r="U57" s="836"/>
      <c r="V57" s="288"/>
    </row>
    <row r="58" spans="2:23" ht="17.45" customHeight="1">
      <c r="B58" s="289"/>
      <c r="C58" s="840" t="s">
        <v>298</v>
      </c>
      <c r="D58" s="840"/>
      <c r="E58" s="841" t="s">
        <v>342</v>
      </c>
      <c r="F58" s="841"/>
      <c r="G58" s="841"/>
      <c r="H58" s="841"/>
      <c r="I58" s="841"/>
      <c r="J58" s="841"/>
      <c r="K58" s="842" t="s">
        <v>299</v>
      </c>
      <c r="L58" s="842"/>
      <c r="M58" s="290"/>
      <c r="N58" s="843" t="s">
        <v>343</v>
      </c>
      <c r="O58" s="843"/>
      <c r="P58" s="843"/>
      <c r="Q58" s="290"/>
      <c r="R58" s="290"/>
      <c r="S58" s="290"/>
      <c r="T58" s="290"/>
      <c r="U58" s="290"/>
      <c r="V58" s="291"/>
    </row>
    <row r="59" spans="2:23" ht="17.45" customHeight="1">
      <c r="B59" s="292"/>
      <c r="C59" s="840"/>
      <c r="D59" s="840"/>
      <c r="E59" s="841"/>
      <c r="F59" s="841"/>
      <c r="G59" s="841"/>
      <c r="H59" s="841"/>
      <c r="I59" s="841"/>
      <c r="J59" s="841"/>
      <c r="K59" s="844" t="s">
        <v>301</v>
      </c>
      <c r="L59" s="844"/>
      <c r="M59" s="293"/>
      <c r="N59" s="845">
        <v>1</v>
      </c>
      <c r="O59" s="845"/>
      <c r="P59" s="845"/>
      <c r="Q59" s="293"/>
      <c r="R59" s="844" t="s">
        <v>302</v>
      </c>
      <c r="S59" s="844"/>
      <c r="T59" s="293"/>
      <c r="U59" s="294" t="s">
        <v>303</v>
      </c>
      <c r="V59" s="295"/>
    </row>
    <row r="60" spans="2:23" ht="17.45" customHeight="1">
      <c r="B60" s="830" t="s">
        <v>304</v>
      </c>
      <c r="C60" s="830"/>
      <c r="D60" s="831" t="s">
        <v>210</v>
      </c>
      <c r="E60" s="831"/>
      <c r="F60" s="831"/>
      <c r="G60" s="831"/>
      <c r="H60" s="831"/>
      <c r="I60" s="831"/>
      <c r="J60" s="830" t="s">
        <v>211</v>
      </c>
      <c r="K60" s="830"/>
      <c r="L60" s="830" t="s">
        <v>213</v>
      </c>
      <c r="M60" s="830"/>
      <c r="N60" s="830"/>
      <c r="O60" s="831" t="s">
        <v>305</v>
      </c>
      <c r="P60" s="831"/>
      <c r="Q60" s="831"/>
      <c r="R60" s="831"/>
      <c r="S60" s="831" t="s">
        <v>306</v>
      </c>
      <c r="T60" s="831"/>
      <c r="U60" s="831"/>
      <c r="V60" s="831"/>
    </row>
    <row r="61" spans="2:23" ht="17.45" customHeight="1">
      <c r="B61" s="338"/>
      <c r="C61" s="413" t="s">
        <v>344</v>
      </c>
      <c r="D61" s="832" t="s">
        <v>345</v>
      </c>
      <c r="E61" s="832"/>
      <c r="F61" s="832"/>
      <c r="G61" s="832"/>
      <c r="H61" s="832"/>
      <c r="I61" s="832"/>
      <c r="J61" s="846" t="s">
        <v>331</v>
      </c>
      <c r="K61" s="846"/>
      <c r="L61" s="833">
        <v>1.2999999999999999E-3</v>
      </c>
      <c r="M61" s="833"/>
      <c r="N61" s="833"/>
      <c r="O61" s="834">
        <f>REAJUSTAMENTO!J13</f>
        <v>161.94999999999999</v>
      </c>
      <c r="P61" s="834"/>
      <c r="Q61" s="834"/>
      <c r="R61" s="834"/>
      <c r="S61" s="847">
        <f>L61*O61</f>
        <v>0.21053499999999997</v>
      </c>
      <c r="T61" s="847"/>
      <c r="U61" s="847"/>
      <c r="V61" s="847"/>
    </row>
    <row r="62" spans="2:23" ht="17.45" customHeight="1">
      <c r="B62" s="340"/>
      <c r="C62" s="412" t="s">
        <v>346</v>
      </c>
      <c r="D62" s="816" t="s">
        <v>347</v>
      </c>
      <c r="E62" s="816"/>
      <c r="F62" s="816"/>
      <c r="G62" s="816"/>
      <c r="H62" s="816"/>
      <c r="I62" s="816"/>
      <c r="J62" s="817" t="s">
        <v>331</v>
      </c>
      <c r="K62" s="817"/>
      <c r="L62" s="818">
        <v>1.2999999999999999E-3</v>
      </c>
      <c r="M62" s="818"/>
      <c r="N62" s="818"/>
      <c r="O62" s="819">
        <f>REAJUSTAMENTO!J15</f>
        <v>101.23</v>
      </c>
      <c r="P62" s="819"/>
      <c r="Q62" s="819"/>
      <c r="R62" s="819"/>
      <c r="S62" s="820">
        <f t="shared" ref="S62:S67" si="2">L62*O62</f>
        <v>0.13159899999999999</v>
      </c>
      <c r="T62" s="814"/>
      <c r="U62" s="814"/>
      <c r="V62" s="815"/>
    </row>
    <row r="63" spans="2:23" ht="17.45" customHeight="1">
      <c r="B63" s="340"/>
      <c r="C63" s="412" t="s">
        <v>348</v>
      </c>
      <c r="D63" s="816" t="s">
        <v>349</v>
      </c>
      <c r="E63" s="816"/>
      <c r="F63" s="816"/>
      <c r="G63" s="816"/>
      <c r="H63" s="816"/>
      <c r="I63" s="816"/>
      <c r="J63" s="817" t="s">
        <v>331</v>
      </c>
      <c r="K63" s="817"/>
      <c r="L63" s="818">
        <v>1.2999999999999999E-3</v>
      </c>
      <c r="M63" s="818"/>
      <c r="N63" s="818"/>
      <c r="O63" s="819">
        <f>REAJUSTAMENTO!J17</f>
        <v>91.09</v>
      </c>
      <c r="P63" s="819"/>
      <c r="Q63" s="819"/>
      <c r="R63" s="819"/>
      <c r="S63" s="820">
        <f t="shared" si="2"/>
        <v>0.11841699999999999</v>
      </c>
      <c r="T63" s="814"/>
      <c r="U63" s="814"/>
      <c r="V63" s="815"/>
    </row>
    <row r="64" spans="2:23" ht="17.45" customHeight="1">
      <c r="B64" s="340"/>
      <c r="C64" s="412" t="s">
        <v>350</v>
      </c>
      <c r="D64" s="816" t="s">
        <v>351</v>
      </c>
      <c r="E64" s="816"/>
      <c r="F64" s="816"/>
      <c r="G64" s="816"/>
      <c r="H64" s="816"/>
      <c r="I64" s="816"/>
      <c r="J64" s="817" t="s">
        <v>331</v>
      </c>
      <c r="K64" s="817"/>
      <c r="L64" s="818">
        <v>1.2999999999999999E-3</v>
      </c>
      <c r="M64" s="818"/>
      <c r="N64" s="818"/>
      <c r="O64" s="819">
        <f>REAJUSTAMENTO!J19</f>
        <v>192.32</v>
      </c>
      <c r="P64" s="819"/>
      <c r="Q64" s="819"/>
      <c r="R64" s="819"/>
      <c r="S64" s="820">
        <f t="shared" si="2"/>
        <v>0.25001599999999996</v>
      </c>
      <c r="T64" s="814"/>
      <c r="U64" s="814"/>
      <c r="V64" s="815"/>
    </row>
    <row r="65" spans="2:22" ht="17.45" customHeight="1">
      <c r="B65" s="340"/>
      <c r="C65" s="412" t="s">
        <v>352</v>
      </c>
      <c r="D65" s="816" t="s">
        <v>353</v>
      </c>
      <c r="E65" s="816"/>
      <c r="F65" s="816"/>
      <c r="G65" s="816"/>
      <c r="H65" s="816"/>
      <c r="I65" s="816"/>
      <c r="J65" s="817" t="s">
        <v>331</v>
      </c>
      <c r="K65" s="817"/>
      <c r="L65" s="818">
        <v>8.0000000000000004E-4</v>
      </c>
      <c r="M65" s="818"/>
      <c r="N65" s="818"/>
      <c r="O65" s="819">
        <f>REAJUSTAMENTO!J21</f>
        <v>80.959999999999994</v>
      </c>
      <c r="P65" s="819"/>
      <c r="Q65" s="819"/>
      <c r="R65" s="819"/>
      <c r="S65" s="820">
        <f t="shared" si="2"/>
        <v>6.4767999999999992E-2</v>
      </c>
      <c r="T65" s="814"/>
      <c r="U65" s="814"/>
      <c r="V65" s="815"/>
    </row>
    <row r="66" spans="2:22" ht="17.45" customHeight="1">
      <c r="B66" s="340"/>
      <c r="C66" s="412" t="s">
        <v>354</v>
      </c>
      <c r="D66" s="816" t="s">
        <v>355</v>
      </c>
      <c r="E66" s="816"/>
      <c r="F66" s="816"/>
      <c r="G66" s="816"/>
      <c r="H66" s="816"/>
      <c r="I66" s="816"/>
      <c r="J66" s="817" t="s">
        <v>331</v>
      </c>
      <c r="K66" s="817"/>
      <c r="L66" s="818">
        <v>1.2999999999999999E-3</v>
      </c>
      <c r="M66" s="818"/>
      <c r="N66" s="818"/>
      <c r="O66" s="819">
        <f>REAJUSTAMENTO!J23</f>
        <v>232.82</v>
      </c>
      <c r="P66" s="819"/>
      <c r="Q66" s="819"/>
      <c r="R66" s="819"/>
      <c r="S66" s="820">
        <f t="shared" si="2"/>
        <v>0.30266599999999999</v>
      </c>
      <c r="T66" s="814"/>
      <c r="U66" s="814"/>
      <c r="V66" s="815"/>
    </row>
    <row r="67" spans="2:22" ht="17.45" customHeight="1">
      <c r="B67" s="339"/>
      <c r="C67" s="411" t="s">
        <v>356</v>
      </c>
      <c r="D67" s="821" t="s">
        <v>357</v>
      </c>
      <c r="E67" s="821"/>
      <c r="F67" s="821"/>
      <c r="G67" s="821"/>
      <c r="H67" s="821"/>
      <c r="I67" s="821"/>
      <c r="J67" s="822" t="s">
        <v>331</v>
      </c>
      <c r="K67" s="822"/>
      <c r="L67" s="823">
        <v>1E-3</v>
      </c>
      <c r="M67" s="823"/>
      <c r="N67" s="823"/>
      <c r="O67" s="824">
        <f>REAJUSTAMENTO!J25</f>
        <v>60.72</v>
      </c>
      <c r="P67" s="824"/>
      <c r="Q67" s="824"/>
      <c r="R67" s="824"/>
      <c r="S67" s="837">
        <f t="shared" si="2"/>
        <v>6.0720000000000003E-2</v>
      </c>
      <c r="T67" s="838"/>
      <c r="U67" s="838"/>
      <c r="V67" s="839"/>
    </row>
    <row r="68" spans="2:22" ht="17.45" customHeight="1">
      <c r="B68" s="825"/>
      <c r="C68" s="825"/>
      <c r="D68" s="825"/>
      <c r="E68" s="825"/>
      <c r="F68" s="825"/>
      <c r="G68" s="825"/>
      <c r="H68" s="825"/>
      <c r="I68" s="826" t="s">
        <v>322</v>
      </c>
      <c r="J68" s="826"/>
      <c r="K68" s="826"/>
      <c r="L68" s="826"/>
      <c r="M68" s="826"/>
      <c r="N68" s="826"/>
      <c r="O68" s="826"/>
      <c r="P68" s="826"/>
      <c r="Q68" s="826"/>
      <c r="R68" s="826"/>
      <c r="S68" s="827">
        <f>SUM(S61:V67)</f>
        <v>1.1387210000000001</v>
      </c>
      <c r="T68" s="827"/>
      <c r="U68" s="827"/>
      <c r="V68" s="827"/>
    </row>
    <row r="69" spans="2:22" ht="17.45" customHeight="1">
      <c r="B69" s="828"/>
      <c r="C69" s="828"/>
      <c r="D69" s="828"/>
      <c r="E69" s="828"/>
      <c r="F69" s="828"/>
      <c r="G69" s="828"/>
      <c r="H69" s="828"/>
      <c r="I69" s="828"/>
      <c r="J69" s="828"/>
      <c r="K69" s="828"/>
      <c r="L69" s="828"/>
      <c r="M69" s="828"/>
      <c r="N69" s="828"/>
      <c r="O69" s="828"/>
      <c r="P69" s="828"/>
      <c r="Q69" s="828"/>
      <c r="R69" s="828"/>
      <c r="S69" s="828"/>
      <c r="T69" s="828"/>
      <c r="U69" s="828"/>
      <c r="V69" s="828"/>
    </row>
    <row r="70" spans="2:22" ht="17.45" customHeight="1">
      <c r="B70" s="812"/>
      <c r="C70" s="812"/>
      <c r="D70" s="812"/>
      <c r="E70" s="812"/>
      <c r="F70" s="812"/>
      <c r="G70" s="812"/>
      <c r="H70" s="812"/>
      <c r="I70" s="813" t="s">
        <v>323</v>
      </c>
      <c r="J70" s="813"/>
      <c r="K70" s="813"/>
      <c r="L70" s="813"/>
      <c r="M70" s="813"/>
      <c r="N70" s="813"/>
      <c r="O70" s="813"/>
      <c r="P70" s="813"/>
      <c r="Q70" s="813"/>
      <c r="R70" s="813"/>
      <c r="S70" s="814">
        <f>S68</f>
        <v>1.1387210000000001</v>
      </c>
      <c r="T70" s="814"/>
      <c r="U70" s="814"/>
      <c r="V70" s="815"/>
    </row>
    <row r="71" spans="2:22" ht="17.45" customHeight="1">
      <c r="B71" s="812"/>
      <c r="C71" s="812"/>
      <c r="D71" s="812"/>
      <c r="E71" s="812"/>
      <c r="F71" s="812"/>
      <c r="G71" s="812"/>
      <c r="H71" s="813" t="s">
        <v>324</v>
      </c>
      <c r="I71" s="813"/>
      <c r="J71" s="813"/>
      <c r="K71" s="813"/>
      <c r="L71" s="813"/>
      <c r="M71" s="829">
        <v>20.7</v>
      </c>
      <c r="N71" s="829"/>
      <c r="O71" s="829"/>
      <c r="P71" s="813" t="s">
        <v>325</v>
      </c>
      <c r="Q71" s="813"/>
      <c r="R71" s="813"/>
      <c r="S71" s="814">
        <f>TRUNC(S70*M71%,2)</f>
        <v>0.23</v>
      </c>
      <c r="T71" s="814"/>
      <c r="U71" s="814"/>
      <c r="V71" s="815"/>
    </row>
    <row r="72" spans="2:22" ht="17.45" customHeight="1">
      <c r="B72" s="812"/>
      <c r="C72" s="812"/>
      <c r="D72" s="812"/>
      <c r="E72" s="812"/>
      <c r="F72" s="812"/>
      <c r="G72" s="812"/>
      <c r="H72" s="812"/>
      <c r="I72" s="813" t="s">
        <v>326</v>
      </c>
      <c r="J72" s="813"/>
      <c r="K72" s="813"/>
      <c r="L72" s="813"/>
      <c r="M72" s="813"/>
      <c r="N72" s="813"/>
      <c r="O72" s="813"/>
      <c r="P72" s="813"/>
      <c r="Q72" s="813"/>
      <c r="R72" s="813"/>
      <c r="S72" s="814">
        <f>S70+S71</f>
        <v>1.3687210000000001</v>
      </c>
      <c r="T72" s="814"/>
      <c r="U72" s="814"/>
      <c r="V72" s="815"/>
    </row>
    <row r="73" spans="2:22" ht="144.94999999999999" customHeight="1">
      <c r="B73" s="296"/>
      <c r="V73" s="299"/>
    </row>
    <row r="74" spans="2:22" ht="144.94999999999999" customHeight="1">
      <c r="B74" s="296"/>
      <c r="V74" s="299"/>
    </row>
    <row r="75" spans="2:22" ht="144.94999999999999" customHeight="1">
      <c r="B75" s="296"/>
      <c r="V75" s="299"/>
    </row>
    <row r="76" spans="2:22" ht="17.45" customHeight="1">
      <c r="B76" s="292"/>
      <c r="C76" s="293"/>
      <c r="D76" s="300"/>
      <c r="E76" s="300"/>
      <c r="F76" s="300"/>
      <c r="G76" s="300"/>
      <c r="H76" s="300"/>
      <c r="I76" s="300"/>
      <c r="J76" s="300"/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5"/>
    </row>
    <row r="77" spans="2:22" ht="17.45" customHeight="1">
      <c r="B77" s="410"/>
      <c r="C77" s="840" t="s">
        <v>297</v>
      </c>
      <c r="D77" s="840"/>
      <c r="E77" s="840"/>
      <c r="F77" s="286"/>
      <c r="G77" s="835" t="s">
        <v>462</v>
      </c>
      <c r="H77" s="835"/>
      <c r="I77" s="835"/>
      <c r="J77" s="835"/>
      <c r="K77" s="835"/>
      <c r="L77" s="835"/>
      <c r="M77" s="287"/>
      <c r="N77" s="836" t="s">
        <v>473</v>
      </c>
      <c r="O77" s="836"/>
      <c r="P77" s="836"/>
      <c r="Q77" s="836"/>
      <c r="R77" s="836"/>
      <c r="S77" s="836"/>
      <c r="T77" s="836"/>
      <c r="U77" s="836"/>
      <c r="V77" s="288"/>
    </row>
    <row r="78" spans="2:22" ht="17.45" customHeight="1">
      <c r="B78" s="289"/>
      <c r="C78" s="840" t="s">
        <v>298</v>
      </c>
      <c r="D78" s="840"/>
      <c r="E78" s="841" t="s">
        <v>358</v>
      </c>
      <c r="F78" s="841"/>
      <c r="G78" s="841"/>
      <c r="H78" s="841"/>
      <c r="I78" s="841"/>
      <c r="J78" s="841"/>
      <c r="K78" s="842" t="s">
        <v>299</v>
      </c>
      <c r="L78" s="842"/>
      <c r="M78" s="290"/>
      <c r="N78" s="843" t="s">
        <v>359</v>
      </c>
      <c r="O78" s="843"/>
      <c r="P78" s="843"/>
      <c r="Q78" s="290"/>
      <c r="R78" s="290"/>
      <c r="S78" s="290"/>
      <c r="T78" s="290"/>
      <c r="U78" s="290"/>
      <c r="V78" s="291"/>
    </row>
    <row r="79" spans="2:22" ht="17.45" customHeight="1">
      <c r="B79" s="292"/>
      <c r="C79" s="840"/>
      <c r="D79" s="840"/>
      <c r="E79" s="841"/>
      <c r="F79" s="841"/>
      <c r="G79" s="841"/>
      <c r="H79" s="841"/>
      <c r="I79" s="841"/>
      <c r="J79" s="841"/>
      <c r="K79" s="844" t="s">
        <v>301</v>
      </c>
      <c r="L79" s="844"/>
      <c r="M79" s="293"/>
      <c r="N79" s="845">
        <v>1</v>
      </c>
      <c r="O79" s="845"/>
      <c r="P79" s="845"/>
      <c r="Q79" s="293"/>
      <c r="R79" s="844" t="s">
        <v>302</v>
      </c>
      <c r="S79" s="844"/>
      <c r="T79" s="293"/>
      <c r="U79" s="294" t="s">
        <v>331</v>
      </c>
      <c r="V79" s="295"/>
    </row>
    <row r="80" spans="2:22" ht="17.45" customHeight="1">
      <c r="B80" s="830" t="s">
        <v>304</v>
      </c>
      <c r="C80" s="830"/>
      <c r="D80" s="831" t="s">
        <v>210</v>
      </c>
      <c r="E80" s="831"/>
      <c r="F80" s="831"/>
      <c r="G80" s="831"/>
      <c r="H80" s="831"/>
      <c r="I80" s="831"/>
      <c r="J80" s="830" t="s">
        <v>211</v>
      </c>
      <c r="K80" s="830"/>
      <c r="L80" s="830" t="s">
        <v>213</v>
      </c>
      <c r="M80" s="830"/>
      <c r="N80" s="830"/>
      <c r="O80" s="831" t="s">
        <v>305</v>
      </c>
      <c r="P80" s="831"/>
      <c r="Q80" s="831"/>
      <c r="R80" s="831"/>
      <c r="S80" s="831" t="s">
        <v>306</v>
      </c>
      <c r="T80" s="831"/>
      <c r="U80" s="831"/>
      <c r="V80" s="831"/>
    </row>
    <row r="81" spans="2:22" ht="17.45" customHeight="1">
      <c r="B81" s="338"/>
      <c r="C81" s="413" t="s">
        <v>344</v>
      </c>
      <c r="D81" s="832" t="s">
        <v>345</v>
      </c>
      <c r="E81" s="832"/>
      <c r="F81" s="832"/>
      <c r="G81" s="832"/>
      <c r="H81" s="832"/>
      <c r="I81" s="832"/>
      <c r="J81" s="846" t="s">
        <v>331</v>
      </c>
      <c r="K81" s="846"/>
      <c r="L81" s="833">
        <v>1.6999999999999999E-3</v>
      </c>
      <c r="M81" s="833"/>
      <c r="N81" s="833"/>
      <c r="O81" s="834">
        <f>REAJUSTAMENTO!J13</f>
        <v>161.94999999999999</v>
      </c>
      <c r="P81" s="834"/>
      <c r="Q81" s="834"/>
      <c r="R81" s="834"/>
      <c r="S81" s="857">
        <f>L81*O81</f>
        <v>0.27531499999999998</v>
      </c>
      <c r="T81" s="857"/>
      <c r="U81" s="857"/>
      <c r="V81" s="857"/>
    </row>
    <row r="82" spans="2:22" ht="17.45" customHeight="1">
      <c r="B82" s="340"/>
      <c r="C82" s="412" t="s">
        <v>346</v>
      </c>
      <c r="D82" s="816" t="s">
        <v>347</v>
      </c>
      <c r="E82" s="816"/>
      <c r="F82" s="816"/>
      <c r="G82" s="816"/>
      <c r="H82" s="816"/>
      <c r="I82" s="816"/>
      <c r="J82" s="817" t="s">
        <v>331</v>
      </c>
      <c r="K82" s="817"/>
      <c r="L82" s="818">
        <v>1.6999999999999999E-3</v>
      </c>
      <c r="M82" s="818"/>
      <c r="N82" s="818"/>
      <c r="O82" s="819">
        <f>REAJUSTAMENTO!J15</f>
        <v>101.23</v>
      </c>
      <c r="P82" s="819"/>
      <c r="Q82" s="819"/>
      <c r="R82" s="819"/>
      <c r="S82" s="857">
        <f t="shared" ref="S82:S88" si="3">L82*O82</f>
        <v>0.17209099999999999</v>
      </c>
      <c r="T82" s="857"/>
      <c r="U82" s="857"/>
      <c r="V82" s="857"/>
    </row>
    <row r="83" spans="2:22" ht="17.45" customHeight="1">
      <c r="B83" s="340"/>
      <c r="C83" s="412" t="s">
        <v>348</v>
      </c>
      <c r="D83" s="816" t="s">
        <v>349</v>
      </c>
      <c r="E83" s="816"/>
      <c r="F83" s="816"/>
      <c r="G83" s="816"/>
      <c r="H83" s="816"/>
      <c r="I83" s="816"/>
      <c r="J83" s="817" t="s">
        <v>331</v>
      </c>
      <c r="K83" s="817"/>
      <c r="L83" s="818">
        <v>1.6999999999999999E-3</v>
      </c>
      <c r="M83" s="818"/>
      <c r="N83" s="818"/>
      <c r="O83" s="819">
        <f>REAJUSTAMENTO!J17</f>
        <v>91.09</v>
      </c>
      <c r="P83" s="819"/>
      <c r="Q83" s="819"/>
      <c r="R83" s="819"/>
      <c r="S83" s="857">
        <f t="shared" si="3"/>
        <v>0.15485299999999999</v>
      </c>
      <c r="T83" s="857"/>
      <c r="U83" s="857"/>
      <c r="V83" s="857"/>
    </row>
    <row r="84" spans="2:22" ht="17.45" customHeight="1">
      <c r="B84" s="340"/>
      <c r="C84" s="412" t="s">
        <v>350</v>
      </c>
      <c r="D84" s="816" t="s">
        <v>351</v>
      </c>
      <c r="E84" s="816"/>
      <c r="F84" s="816"/>
      <c r="G84" s="816"/>
      <c r="H84" s="816"/>
      <c r="I84" s="816"/>
      <c r="J84" s="817" t="s">
        <v>331</v>
      </c>
      <c r="K84" s="817"/>
      <c r="L84" s="818">
        <v>1.6999999999999999E-3</v>
      </c>
      <c r="M84" s="818"/>
      <c r="N84" s="818"/>
      <c r="O84" s="819">
        <f>REAJUSTAMENTO!J19</f>
        <v>192.32</v>
      </c>
      <c r="P84" s="819"/>
      <c r="Q84" s="819"/>
      <c r="R84" s="819"/>
      <c r="S84" s="857">
        <f t="shared" si="3"/>
        <v>0.32694399999999996</v>
      </c>
      <c r="T84" s="857"/>
      <c r="U84" s="857"/>
      <c r="V84" s="857"/>
    </row>
    <row r="85" spans="2:22" ht="17.45" customHeight="1">
      <c r="B85" s="340"/>
      <c r="C85" s="412" t="s">
        <v>352</v>
      </c>
      <c r="D85" s="816" t="s">
        <v>353</v>
      </c>
      <c r="E85" s="816"/>
      <c r="F85" s="816"/>
      <c r="G85" s="816"/>
      <c r="H85" s="816"/>
      <c r="I85" s="816"/>
      <c r="J85" s="817" t="s">
        <v>331</v>
      </c>
      <c r="K85" s="817"/>
      <c r="L85" s="818">
        <v>5.0000000000000001E-3</v>
      </c>
      <c r="M85" s="818"/>
      <c r="N85" s="818"/>
      <c r="O85" s="819">
        <f>REAJUSTAMENTO!J21</f>
        <v>80.959999999999994</v>
      </c>
      <c r="P85" s="819"/>
      <c r="Q85" s="819"/>
      <c r="R85" s="819"/>
      <c r="S85" s="857">
        <f t="shared" si="3"/>
        <v>0.40479999999999999</v>
      </c>
      <c r="T85" s="857"/>
      <c r="U85" s="857"/>
      <c r="V85" s="857"/>
    </row>
    <row r="86" spans="2:22" ht="17.45" customHeight="1">
      <c r="B86" s="340"/>
      <c r="C86" s="412" t="s">
        <v>354</v>
      </c>
      <c r="D86" s="816" t="s">
        <v>355</v>
      </c>
      <c r="E86" s="816"/>
      <c r="F86" s="816"/>
      <c r="G86" s="816"/>
      <c r="H86" s="816"/>
      <c r="I86" s="816"/>
      <c r="J86" s="817" t="s">
        <v>331</v>
      </c>
      <c r="K86" s="817"/>
      <c r="L86" s="818">
        <v>1.6999999999999999E-3</v>
      </c>
      <c r="M86" s="818"/>
      <c r="N86" s="818"/>
      <c r="O86" s="819">
        <f>REAJUSTAMENTO!J23</f>
        <v>232.82</v>
      </c>
      <c r="P86" s="819"/>
      <c r="Q86" s="819"/>
      <c r="R86" s="819"/>
      <c r="S86" s="857">
        <f t="shared" si="3"/>
        <v>0.39579399999999998</v>
      </c>
      <c r="T86" s="857"/>
      <c r="U86" s="857"/>
      <c r="V86" s="857"/>
    </row>
    <row r="87" spans="2:22" ht="17.45" customHeight="1">
      <c r="B87" s="340"/>
      <c r="C87" s="412" t="s">
        <v>356</v>
      </c>
      <c r="D87" s="816" t="s">
        <v>357</v>
      </c>
      <c r="E87" s="816"/>
      <c r="F87" s="816"/>
      <c r="G87" s="816"/>
      <c r="H87" s="816"/>
      <c r="I87" s="816"/>
      <c r="J87" s="817" t="s">
        <v>331</v>
      </c>
      <c r="K87" s="817"/>
      <c r="L87" s="818">
        <v>5.0000000000000001E-3</v>
      </c>
      <c r="M87" s="818"/>
      <c r="N87" s="818"/>
      <c r="O87" s="819">
        <f>REAJUSTAMENTO!J25</f>
        <v>60.72</v>
      </c>
      <c r="P87" s="819"/>
      <c r="Q87" s="819"/>
      <c r="R87" s="819"/>
      <c r="S87" s="857">
        <f t="shared" si="3"/>
        <v>0.30359999999999998</v>
      </c>
      <c r="T87" s="857"/>
      <c r="U87" s="857"/>
      <c r="V87" s="857"/>
    </row>
    <row r="88" spans="2:22" ht="17.45" customHeight="1">
      <c r="B88" s="339"/>
      <c r="C88" s="411" t="s">
        <v>360</v>
      </c>
      <c r="D88" s="821" t="s">
        <v>361</v>
      </c>
      <c r="E88" s="821"/>
      <c r="F88" s="821"/>
      <c r="G88" s="821"/>
      <c r="H88" s="821"/>
      <c r="I88" s="821"/>
      <c r="J88" s="822" t="s">
        <v>331</v>
      </c>
      <c r="K88" s="822"/>
      <c r="L88" s="823">
        <v>1.6999999999999999E-3</v>
      </c>
      <c r="M88" s="823"/>
      <c r="N88" s="823"/>
      <c r="O88" s="824">
        <f>REAJUSTAMENTO!J27</f>
        <v>91.09</v>
      </c>
      <c r="P88" s="824"/>
      <c r="Q88" s="824"/>
      <c r="R88" s="824"/>
      <c r="S88" s="857">
        <f t="shared" si="3"/>
        <v>0.15485299999999999</v>
      </c>
      <c r="T88" s="857"/>
      <c r="U88" s="857"/>
      <c r="V88" s="857"/>
    </row>
    <row r="89" spans="2:22" ht="17.45" customHeight="1">
      <c r="B89" s="825"/>
      <c r="C89" s="825"/>
      <c r="D89" s="825"/>
      <c r="E89" s="825"/>
      <c r="F89" s="825"/>
      <c r="G89" s="825"/>
      <c r="H89" s="825"/>
      <c r="I89" s="826" t="s">
        <v>322</v>
      </c>
      <c r="J89" s="826"/>
      <c r="K89" s="826"/>
      <c r="L89" s="826"/>
      <c r="M89" s="826"/>
      <c r="N89" s="826"/>
      <c r="O89" s="826"/>
      <c r="P89" s="826"/>
      <c r="Q89" s="826"/>
      <c r="R89" s="826"/>
      <c r="S89" s="827">
        <f>SUM(S81:V88)</f>
        <v>2.18825</v>
      </c>
      <c r="T89" s="827"/>
      <c r="U89" s="827"/>
      <c r="V89" s="827"/>
    </row>
    <row r="90" spans="2:22" ht="17.45" customHeight="1">
      <c r="B90" s="828"/>
      <c r="C90" s="828"/>
      <c r="D90" s="828"/>
      <c r="E90" s="828"/>
      <c r="F90" s="828"/>
      <c r="G90" s="828"/>
      <c r="H90" s="828"/>
      <c r="I90" s="828"/>
      <c r="J90" s="828"/>
      <c r="K90" s="828"/>
      <c r="L90" s="828"/>
      <c r="M90" s="828"/>
      <c r="N90" s="828"/>
      <c r="O90" s="828"/>
      <c r="P90" s="828"/>
      <c r="Q90" s="828"/>
      <c r="R90" s="828"/>
      <c r="S90" s="828"/>
      <c r="T90" s="828"/>
      <c r="U90" s="828"/>
      <c r="V90" s="828"/>
    </row>
    <row r="91" spans="2:22" ht="17.45" customHeight="1">
      <c r="B91" s="812"/>
      <c r="C91" s="812"/>
      <c r="D91" s="812"/>
      <c r="E91" s="812"/>
      <c r="F91" s="812"/>
      <c r="G91" s="812"/>
      <c r="H91" s="812"/>
      <c r="I91" s="813" t="s">
        <v>323</v>
      </c>
      <c r="J91" s="813"/>
      <c r="K91" s="813"/>
      <c r="L91" s="813"/>
      <c r="M91" s="813"/>
      <c r="N91" s="813"/>
      <c r="O91" s="813"/>
      <c r="P91" s="813"/>
      <c r="Q91" s="813"/>
      <c r="R91" s="813"/>
      <c r="S91" s="814">
        <f>S89</f>
        <v>2.18825</v>
      </c>
      <c r="T91" s="814"/>
      <c r="U91" s="814"/>
      <c r="V91" s="815"/>
    </row>
    <row r="92" spans="2:22" ht="17.45" customHeight="1">
      <c r="B92" s="812"/>
      <c r="C92" s="812"/>
      <c r="D92" s="812"/>
      <c r="E92" s="812"/>
      <c r="F92" s="812"/>
      <c r="G92" s="812"/>
      <c r="H92" s="813" t="s">
        <v>324</v>
      </c>
      <c r="I92" s="813"/>
      <c r="J92" s="813"/>
      <c r="K92" s="813"/>
      <c r="L92" s="813"/>
      <c r="M92" s="829">
        <v>20.7</v>
      </c>
      <c r="N92" s="829"/>
      <c r="O92" s="829"/>
      <c r="P92" s="813" t="s">
        <v>325</v>
      </c>
      <c r="Q92" s="813"/>
      <c r="R92" s="813"/>
      <c r="S92" s="814">
        <f>TRUNC(S91*M92%,2)</f>
        <v>0.45</v>
      </c>
      <c r="T92" s="814"/>
      <c r="U92" s="814"/>
      <c r="V92" s="815"/>
    </row>
    <row r="93" spans="2:22" ht="17.45" customHeight="1">
      <c r="B93" s="812"/>
      <c r="C93" s="812"/>
      <c r="D93" s="812"/>
      <c r="E93" s="812"/>
      <c r="F93" s="812"/>
      <c r="G93" s="812"/>
      <c r="H93" s="812"/>
      <c r="I93" s="813" t="s">
        <v>326</v>
      </c>
      <c r="J93" s="813"/>
      <c r="K93" s="813"/>
      <c r="L93" s="813"/>
      <c r="M93" s="813"/>
      <c r="N93" s="813"/>
      <c r="O93" s="813"/>
      <c r="P93" s="813"/>
      <c r="Q93" s="813"/>
      <c r="R93" s="813"/>
      <c r="S93" s="814">
        <f>S91+S92</f>
        <v>2.6382500000000002</v>
      </c>
      <c r="T93" s="814"/>
      <c r="U93" s="814"/>
      <c r="V93" s="815"/>
    </row>
    <row r="94" spans="2:22" ht="144.94999999999999" customHeight="1">
      <c r="B94" s="296"/>
      <c r="V94" s="299"/>
    </row>
    <row r="95" spans="2:22" ht="144.94999999999999" customHeight="1">
      <c r="B95" s="296"/>
      <c r="V95" s="299"/>
    </row>
    <row r="96" spans="2:22" ht="132" customHeight="1">
      <c r="B96" s="296"/>
      <c r="V96" s="299"/>
    </row>
    <row r="97" spans="2:22" ht="17.45" customHeight="1">
      <c r="B97" s="292"/>
      <c r="C97" s="293"/>
      <c r="D97" s="300"/>
      <c r="E97" s="300"/>
      <c r="F97" s="300"/>
      <c r="G97" s="300"/>
      <c r="H97" s="300"/>
      <c r="I97" s="300"/>
      <c r="J97" s="300"/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5"/>
    </row>
    <row r="98" spans="2:22" ht="17.45" customHeight="1">
      <c r="B98" s="410"/>
      <c r="C98" s="840" t="s">
        <v>297</v>
      </c>
      <c r="D98" s="840"/>
      <c r="E98" s="840"/>
      <c r="F98" s="286"/>
      <c r="G98" s="835" t="s">
        <v>462</v>
      </c>
      <c r="H98" s="835"/>
      <c r="I98" s="835"/>
      <c r="J98" s="835"/>
      <c r="K98" s="835"/>
      <c r="L98" s="835"/>
      <c r="M98" s="287"/>
      <c r="N98" s="836" t="s">
        <v>473</v>
      </c>
      <c r="O98" s="836"/>
      <c r="P98" s="836"/>
      <c r="Q98" s="836"/>
      <c r="R98" s="836"/>
      <c r="S98" s="836"/>
      <c r="T98" s="836"/>
      <c r="U98" s="836"/>
      <c r="V98" s="288"/>
    </row>
    <row r="99" spans="2:22" ht="17.45" customHeight="1">
      <c r="B99" s="289"/>
      <c r="C99" s="840" t="s">
        <v>298</v>
      </c>
      <c r="D99" s="840"/>
      <c r="E99" s="841" t="s">
        <v>362</v>
      </c>
      <c r="F99" s="841"/>
      <c r="G99" s="841"/>
      <c r="H99" s="841"/>
      <c r="I99" s="841"/>
      <c r="J99" s="841"/>
      <c r="K99" s="842" t="s">
        <v>299</v>
      </c>
      <c r="L99" s="842"/>
      <c r="M99" s="290"/>
      <c r="N99" s="843" t="s">
        <v>363</v>
      </c>
      <c r="O99" s="843"/>
      <c r="P99" s="843"/>
      <c r="Q99" s="290"/>
      <c r="R99" s="290"/>
      <c r="S99" s="290"/>
      <c r="T99" s="290"/>
      <c r="U99" s="290"/>
      <c r="V99" s="291"/>
    </row>
    <row r="100" spans="2:22" ht="17.45" customHeight="1">
      <c r="B100" s="292"/>
      <c r="C100" s="840"/>
      <c r="D100" s="840"/>
      <c r="E100" s="841"/>
      <c r="F100" s="841"/>
      <c r="G100" s="841"/>
      <c r="H100" s="841"/>
      <c r="I100" s="841"/>
      <c r="J100" s="841"/>
      <c r="K100" s="844" t="s">
        <v>301</v>
      </c>
      <c r="L100" s="844"/>
      <c r="M100" s="293"/>
      <c r="N100" s="845">
        <v>1</v>
      </c>
      <c r="O100" s="845"/>
      <c r="P100" s="845"/>
      <c r="Q100" s="293"/>
      <c r="R100" s="844" t="s">
        <v>302</v>
      </c>
      <c r="S100" s="844"/>
      <c r="T100" s="293"/>
      <c r="U100" s="294" t="s">
        <v>331</v>
      </c>
      <c r="V100" s="295"/>
    </row>
    <row r="101" spans="2:22" ht="17.45" customHeight="1">
      <c r="B101" s="830" t="s">
        <v>304</v>
      </c>
      <c r="C101" s="830"/>
      <c r="D101" s="831" t="s">
        <v>210</v>
      </c>
      <c r="E101" s="831"/>
      <c r="F101" s="831"/>
      <c r="G101" s="831"/>
      <c r="H101" s="831"/>
      <c r="I101" s="831"/>
      <c r="J101" s="830" t="s">
        <v>211</v>
      </c>
      <c r="K101" s="830"/>
      <c r="L101" s="830" t="s">
        <v>213</v>
      </c>
      <c r="M101" s="830"/>
      <c r="N101" s="830"/>
      <c r="O101" s="831" t="s">
        <v>305</v>
      </c>
      <c r="P101" s="831"/>
      <c r="Q101" s="831"/>
      <c r="R101" s="831"/>
      <c r="S101" s="831" t="s">
        <v>306</v>
      </c>
      <c r="T101" s="831"/>
      <c r="U101" s="831"/>
      <c r="V101" s="831"/>
    </row>
    <row r="102" spans="2:22" ht="17.45" customHeight="1">
      <c r="B102" s="338"/>
      <c r="C102" s="413" t="s">
        <v>344</v>
      </c>
      <c r="D102" s="832" t="s">
        <v>345</v>
      </c>
      <c r="E102" s="832"/>
      <c r="F102" s="832"/>
      <c r="G102" s="832"/>
      <c r="H102" s="832"/>
      <c r="I102" s="832"/>
      <c r="J102" s="846" t="s">
        <v>331</v>
      </c>
      <c r="K102" s="846"/>
      <c r="L102" s="833">
        <v>1.6999999999999999E-3</v>
      </c>
      <c r="M102" s="833"/>
      <c r="N102" s="833"/>
      <c r="O102" s="834">
        <f>REAJUSTAMENTO!J13</f>
        <v>161.94999999999999</v>
      </c>
      <c r="P102" s="834"/>
      <c r="Q102" s="834"/>
      <c r="R102" s="834"/>
      <c r="S102" s="857">
        <f>L102*O102</f>
        <v>0.27531499999999998</v>
      </c>
      <c r="T102" s="857"/>
      <c r="U102" s="857"/>
      <c r="V102" s="857"/>
    </row>
    <row r="103" spans="2:22" ht="17.45" customHeight="1">
      <c r="B103" s="340"/>
      <c r="C103" s="412" t="s">
        <v>346</v>
      </c>
      <c r="D103" s="816" t="s">
        <v>347</v>
      </c>
      <c r="E103" s="816"/>
      <c r="F103" s="816"/>
      <c r="G103" s="816"/>
      <c r="H103" s="816"/>
      <c r="I103" s="816"/>
      <c r="J103" s="817" t="s">
        <v>331</v>
      </c>
      <c r="K103" s="817"/>
      <c r="L103" s="818">
        <v>1.6999999999999999E-3</v>
      </c>
      <c r="M103" s="818"/>
      <c r="N103" s="818"/>
      <c r="O103" s="819">
        <f>REAJUSTAMENTO!J15</f>
        <v>101.23</v>
      </c>
      <c r="P103" s="819"/>
      <c r="Q103" s="819"/>
      <c r="R103" s="819"/>
      <c r="S103" s="857">
        <f t="shared" ref="S103:S109" si="4">L103*O103</f>
        <v>0.17209099999999999</v>
      </c>
      <c r="T103" s="857"/>
      <c r="U103" s="857"/>
      <c r="V103" s="857"/>
    </row>
    <row r="104" spans="2:22" ht="17.45" customHeight="1">
      <c r="B104" s="340"/>
      <c r="C104" s="412" t="s">
        <v>348</v>
      </c>
      <c r="D104" s="816" t="s">
        <v>349</v>
      </c>
      <c r="E104" s="816"/>
      <c r="F104" s="816"/>
      <c r="G104" s="816"/>
      <c r="H104" s="816"/>
      <c r="I104" s="816"/>
      <c r="J104" s="817" t="s">
        <v>331</v>
      </c>
      <c r="K104" s="817"/>
      <c r="L104" s="818">
        <v>1.6999999999999999E-3</v>
      </c>
      <c r="M104" s="818"/>
      <c r="N104" s="818"/>
      <c r="O104" s="819">
        <f>REAJUSTAMENTO!J17</f>
        <v>91.09</v>
      </c>
      <c r="P104" s="819"/>
      <c r="Q104" s="819"/>
      <c r="R104" s="819"/>
      <c r="S104" s="857">
        <f t="shared" si="4"/>
        <v>0.15485299999999999</v>
      </c>
      <c r="T104" s="857"/>
      <c r="U104" s="857"/>
      <c r="V104" s="857"/>
    </row>
    <row r="105" spans="2:22" ht="17.45" customHeight="1">
      <c r="B105" s="340"/>
      <c r="C105" s="412" t="s">
        <v>350</v>
      </c>
      <c r="D105" s="816" t="s">
        <v>351</v>
      </c>
      <c r="E105" s="816"/>
      <c r="F105" s="816"/>
      <c r="G105" s="816"/>
      <c r="H105" s="816"/>
      <c r="I105" s="816"/>
      <c r="J105" s="817" t="s">
        <v>331</v>
      </c>
      <c r="K105" s="817"/>
      <c r="L105" s="818">
        <v>1.6999999999999999E-3</v>
      </c>
      <c r="M105" s="818"/>
      <c r="N105" s="818"/>
      <c r="O105" s="819">
        <f>REAJUSTAMENTO!J19</f>
        <v>192.32</v>
      </c>
      <c r="P105" s="819"/>
      <c r="Q105" s="819"/>
      <c r="R105" s="819"/>
      <c r="S105" s="857">
        <f t="shared" si="4"/>
        <v>0.32694399999999996</v>
      </c>
      <c r="T105" s="857"/>
      <c r="U105" s="857"/>
      <c r="V105" s="857"/>
    </row>
    <row r="106" spans="2:22" ht="17.45" customHeight="1">
      <c r="B106" s="340"/>
      <c r="C106" s="412" t="s">
        <v>352</v>
      </c>
      <c r="D106" s="816" t="s">
        <v>353</v>
      </c>
      <c r="E106" s="816"/>
      <c r="F106" s="816"/>
      <c r="G106" s="816"/>
      <c r="H106" s="816"/>
      <c r="I106" s="816"/>
      <c r="J106" s="817" t="s">
        <v>331</v>
      </c>
      <c r="K106" s="817"/>
      <c r="L106" s="818">
        <v>5.0000000000000001E-3</v>
      </c>
      <c r="M106" s="818"/>
      <c r="N106" s="818"/>
      <c r="O106" s="819">
        <f>REAJUSTAMENTO!J21</f>
        <v>80.959999999999994</v>
      </c>
      <c r="P106" s="819"/>
      <c r="Q106" s="819"/>
      <c r="R106" s="819"/>
      <c r="S106" s="857">
        <f t="shared" si="4"/>
        <v>0.40479999999999999</v>
      </c>
      <c r="T106" s="857"/>
      <c r="U106" s="857"/>
      <c r="V106" s="857"/>
    </row>
    <row r="107" spans="2:22" ht="17.45" customHeight="1">
      <c r="B107" s="340"/>
      <c r="C107" s="412" t="s">
        <v>354</v>
      </c>
      <c r="D107" s="816" t="s">
        <v>355</v>
      </c>
      <c r="E107" s="816"/>
      <c r="F107" s="816"/>
      <c r="G107" s="816"/>
      <c r="H107" s="816"/>
      <c r="I107" s="816"/>
      <c r="J107" s="817" t="s">
        <v>331</v>
      </c>
      <c r="K107" s="817"/>
      <c r="L107" s="818">
        <v>1.6999999999999999E-3</v>
      </c>
      <c r="M107" s="818"/>
      <c r="N107" s="818"/>
      <c r="O107" s="819">
        <f>REAJUSTAMENTO!J23</f>
        <v>232.82</v>
      </c>
      <c r="P107" s="819"/>
      <c r="Q107" s="819"/>
      <c r="R107" s="819"/>
      <c r="S107" s="857">
        <f t="shared" si="4"/>
        <v>0.39579399999999998</v>
      </c>
      <c r="T107" s="857"/>
      <c r="U107" s="857"/>
      <c r="V107" s="857"/>
    </row>
    <row r="108" spans="2:22" ht="17.45" customHeight="1">
      <c r="B108" s="340"/>
      <c r="C108" s="412" t="s">
        <v>356</v>
      </c>
      <c r="D108" s="816" t="s">
        <v>357</v>
      </c>
      <c r="E108" s="816"/>
      <c r="F108" s="816"/>
      <c r="G108" s="816"/>
      <c r="H108" s="816"/>
      <c r="I108" s="816"/>
      <c r="J108" s="817" t="s">
        <v>331</v>
      </c>
      <c r="K108" s="817"/>
      <c r="L108" s="818">
        <v>5.0000000000000001E-3</v>
      </c>
      <c r="M108" s="818"/>
      <c r="N108" s="818"/>
      <c r="O108" s="819">
        <f>REAJUSTAMENTO!J25</f>
        <v>60.72</v>
      </c>
      <c r="P108" s="819"/>
      <c r="Q108" s="819"/>
      <c r="R108" s="819"/>
      <c r="S108" s="857">
        <f t="shared" si="4"/>
        <v>0.30359999999999998</v>
      </c>
      <c r="T108" s="857"/>
      <c r="U108" s="857"/>
      <c r="V108" s="857"/>
    </row>
    <row r="109" spans="2:22" ht="17.45" customHeight="1">
      <c r="B109" s="339"/>
      <c r="C109" s="411" t="s">
        <v>360</v>
      </c>
      <c r="D109" s="821" t="s">
        <v>361</v>
      </c>
      <c r="E109" s="821"/>
      <c r="F109" s="821"/>
      <c r="G109" s="821"/>
      <c r="H109" s="821"/>
      <c r="I109" s="821"/>
      <c r="J109" s="822" t="s">
        <v>331</v>
      </c>
      <c r="K109" s="822"/>
      <c r="L109" s="823">
        <v>1.6999999999999999E-3</v>
      </c>
      <c r="M109" s="823"/>
      <c r="N109" s="823"/>
      <c r="O109" s="824">
        <f>REAJUSTAMENTO!J27</f>
        <v>91.09</v>
      </c>
      <c r="P109" s="824"/>
      <c r="Q109" s="824"/>
      <c r="R109" s="824"/>
      <c r="S109" s="857">
        <f t="shared" si="4"/>
        <v>0.15485299999999999</v>
      </c>
      <c r="T109" s="857"/>
      <c r="U109" s="857"/>
      <c r="V109" s="857"/>
    </row>
    <row r="110" spans="2:22" ht="17.45" customHeight="1">
      <c r="B110" s="825"/>
      <c r="C110" s="825"/>
      <c r="D110" s="825"/>
      <c r="E110" s="825"/>
      <c r="F110" s="825"/>
      <c r="G110" s="825"/>
      <c r="H110" s="825"/>
      <c r="I110" s="826" t="s">
        <v>322</v>
      </c>
      <c r="J110" s="826"/>
      <c r="K110" s="826"/>
      <c r="L110" s="826"/>
      <c r="M110" s="826"/>
      <c r="N110" s="826"/>
      <c r="O110" s="826"/>
      <c r="P110" s="826"/>
      <c r="Q110" s="826"/>
      <c r="R110" s="826"/>
      <c r="S110" s="827">
        <f>SUM(S102:V109)</f>
        <v>2.18825</v>
      </c>
      <c r="T110" s="827"/>
      <c r="U110" s="827"/>
      <c r="V110" s="827"/>
    </row>
    <row r="111" spans="2:22" ht="17.45" customHeight="1">
      <c r="B111" s="828"/>
      <c r="C111" s="828"/>
      <c r="D111" s="828"/>
      <c r="E111" s="828"/>
      <c r="F111" s="828"/>
      <c r="G111" s="828"/>
      <c r="H111" s="828"/>
      <c r="I111" s="828"/>
      <c r="J111" s="828"/>
      <c r="K111" s="828"/>
      <c r="L111" s="828"/>
      <c r="M111" s="828"/>
      <c r="N111" s="828"/>
      <c r="O111" s="828"/>
      <c r="P111" s="828"/>
      <c r="Q111" s="828"/>
      <c r="R111" s="828"/>
      <c r="S111" s="828"/>
      <c r="T111" s="828"/>
      <c r="U111" s="828"/>
      <c r="V111" s="828"/>
    </row>
    <row r="112" spans="2:22" ht="17.45" customHeight="1">
      <c r="B112" s="812"/>
      <c r="C112" s="812"/>
      <c r="D112" s="812"/>
      <c r="E112" s="812"/>
      <c r="F112" s="812"/>
      <c r="G112" s="812"/>
      <c r="H112" s="812"/>
      <c r="I112" s="813" t="s">
        <v>323</v>
      </c>
      <c r="J112" s="813"/>
      <c r="K112" s="813"/>
      <c r="L112" s="813"/>
      <c r="M112" s="813"/>
      <c r="N112" s="813"/>
      <c r="O112" s="813"/>
      <c r="P112" s="813"/>
      <c r="Q112" s="813"/>
      <c r="R112" s="813"/>
      <c r="S112" s="814">
        <f>S110</f>
        <v>2.18825</v>
      </c>
      <c r="T112" s="814"/>
      <c r="U112" s="814"/>
      <c r="V112" s="815"/>
    </row>
    <row r="113" spans="2:22" ht="17.45" customHeight="1">
      <c r="B113" s="812"/>
      <c r="C113" s="812"/>
      <c r="D113" s="812"/>
      <c r="E113" s="812"/>
      <c r="F113" s="812"/>
      <c r="G113" s="812"/>
      <c r="H113" s="813" t="s">
        <v>324</v>
      </c>
      <c r="I113" s="813"/>
      <c r="J113" s="813"/>
      <c r="K113" s="813"/>
      <c r="L113" s="813"/>
      <c r="M113" s="829">
        <v>20.7</v>
      </c>
      <c r="N113" s="829"/>
      <c r="O113" s="829"/>
      <c r="P113" s="813" t="s">
        <v>325</v>
      </c>
      <c r="Q113" s="813"/>
      <c r="R113" s="813"/>
      <c r="S113" s="814">
        <f>TRUNC(S112*M113%,2)</f>
        <v>0.45</v>
      </c>
      <c r="T113" s="814"/>
      <c r="U113" s="814"/>
      <c r="V113" s="815"/>
    </row>
    <row r="114" spans="2:22" ht="17.45" customHeight="1">
      <c r="B114" s="812"/>
      <c r="C114" s="812"/>
      <c r="D114" s="812"/>
      <c r="E114" s="812"/>
      <c r="F114" s="812"/>
      <c r="G114" s="812"/>
      <c r="H114" s="812"/>
      <c r="I114" s="813" t="s">
        <v>326</v>
      </c>
      <c r="J114" s="813"/>
      <c r="K114" s="813"/>
      <c r="L114" s="813"/>
      <c r="M114" s="813"/>
      <c r="N114" s="813"/>
      <c r="O114" s="813"/>
      <c r="P114" s="813"/>
      <c r="Q114" s="813"/>
      <c r="R114" s="813"/>
      <c r="S114" s="814">
        <f>S112+S113</f>
        <v>2.6382500000000002</v>
      </c>
      <c r="T114" s="814"/>
      <c r="U114" s="814"/>
      <c r="V114" s="815"/>
    </row>
    <row r="115" spans="2:22" ht="144.94999999999999" customHeight="1">
      <c r="B115" s="296"/>
      <c r="V115" s="299"/>
    </row>
    <row r="116" spans="2:22" ht="144.94999999999999" customHeight="1">
      <c r="B116" s="296"/>
      <c r="V116" s="299"/>
    </row>
    <row r="117" spans="2:22" ht="138.75" customHeight="1">
      <c r="B117" s="296"/>
      <c r="V117" s="299"/>
    </row>
    <row r="118" spans="2:22" ht="17.45" customHeight="1">
      <c r="B118" s="292"/>
      <c r="C118" s="293"/>
      <c r="D118" s="300"/>
      <c r="E118" s="300"/>
      <c r="F118" s="300"/>
      <c r="G118" s="300"/>
      <c r="H118" s="300"/>
      <c r="I118" s="300"/>
      <c r="J118" s="300"/>
      <c r="K118" s="293"/>
      <c r="L118" s="293"/>
      <c r="M118" s="293"/>
      <c r="N118" s="293"/>
      <c r="O118" s="293"/>
      <c r="P118" s="293"/>
      <c r="Q118" s="293"/>
      <c r="R118" s="293"/>
      <c r="S118" s="293"/>
      <c r="T118" s="293"/>
      <c r="U118" s="293"/>
      <c r="V118" s="295"/>
    </row>
    <row r="119" spans="2:22" ht="17.45" customHeight="1">
      <c r="B119" s="410"/>
      <c r="C119" s="840" t="s">
        <v>297</v>
      </c>
      <c r="D119" s="840"/>
      <c r="E119" s="840"/>
      <c r="F119" s="286"/>
      <c r="G119" s="835" t="s">
        <v>462</v>
      </c>
      <c r="H119" s="835"/>
      <c r="I119" s="835"/>
      <c r="J119" s="835"/>
      <c r="K119" s="835"/>
      <c r="L119" s="835"/>
      <c r="M119" s="287"/>
      <c r="N119" s="835" t="s">
        <v>473</v>
      </c>
      <c r="O119" s="835"/>
      <c r="P119" s="835"/>
      <c r="Q119" s="835"/>
      <c r="R119" s="835"/>
      <c r="S119" s="835"/>
      <c r="T119" s="835"/>
      <c r="U119" s="835"/>
      <c r="V119" s="288"/>
    </row>
    <row r="120" spans="2:22" ht="17.45" customHeight="1">
      <c r="B120" s="289"/>
      <c r="C120" s="840" t="s">
        <v>298</v>
      </c>
      <c r="D120" s="840"/>
      <c r="E120" s="841" t="s">
        <v>364</v>
      </c>
      <c r="F120" s="841"/>
      <c r="G120" s="841"/>
      <c r="H120" s="841"/>
      <c r="I120" s="841"/>
      <c r="J120" s="841"/>
      <c r="K120" s="842" t="s">
        <v>299</v>
      </c>
      <c r="L120" s="842"/>
      <c r="M120" s="290"/>
      <c r="N120" s="843" t="s">
        <v>365</v>
      </c>
      <c r="O120" s="843"/>
      <c r="P120" s="843"/>
      <c r="Q120" s="290"/>
      <c r="R120" s="290"/>
      <c r="S120" s="290"/>
      <c r="T120" s="290"/>
      <c r="U120" s="290"/>
      <c r="V120" s="291"/>
    </row>
    <row r="121" spans="2:22" ht="17.45" customHeight="1">
      <c r="B121" s="292"/>
      <c r="C121" s="840"/>
      <c r="D121" s="840"/>
      <c r="E121" s="841"/>
      <c r="F121" s="841"/>
      <c r="G121" s="841"/>
      <c r="H121" s="841"/>
      <c r="I121" s="841"/>
      <c r="J121" s="841"/>
      <c r="K121" s="844" t="s">
        <v>301</v>
      </c>
      <c r="L121" s="844"/>
      <c r="M121" s="293"/>
      <c r="N121" s="845">
        <v>1</v>
      </c>
      <c r="O121" s="845"/>
      <c r="P121" s="845"/>
      <c r="Q121" s="293"/>
      <c r="R121" s="844" t="s">
        <v>302</v>
      </c>
      <c r="S121" s="844"/>
      <c r="T121" s="293"/>
      <c r="U121" s="294" t="s">
        <v>331</v>
      </c>
      <c r="V121" s="295"/>
    </row>
    <row r="122" spans="2:22" ht="17.45" customHeight="1">
      <c r="B122" s="830" t="s">
        <v>304</v>
      </c>
      <c r="C122" s="830"/>
      <c r="D122" s="831" t="s">
        <v>210</v>
      </c>
      <c r="E122" s="831"/>
      <c r="F122" s="831"/>
      <c r="G122" s="831"/>
      <c r="H122" s="831"/>
      <c r="I122" s="831"/>
      <c r="J122" s="830" t="s">
        <v>211</v>
      </c>
      <c r="K122" s="830"/>
      <c r="L122" s="830" t="s">
        <v>213</v>
      </c>
      <c r="M122" s="830"/>
      <c r="N122" s="830"/>
      <c r="O122" s="831" t="s">
        <v>305</v>
      </c>
      <c r="P122" s="831"/>
      <c r="Q122" s="831"/>
      <c r="R122" s="831"/>
      <c r="S122" s="831" t="s">
        <v>306</v>
      </c>
      <c r="T122" s="831"/>
      <c r="U122" s="831"/>
      <c r="V122" s="831"/>
    </row>
    <row r="123" spans="2:22" ht="17.45" customHeight="1">
      <c r="B123" s="338"/>
      <c r="C123" s="413">
        <v>88249</v>
      </c>
      <c r="D123" s="832" t="s">
        <v>366</v>
      </c>
      <c r="E123" s="832"/>
      <c r="F123" s="832"/>
      <c r="G123" s="832"/>
      <c r="H123" s="832"/>
      <c r="I123" s="832"/>
      <c r="J123" s="846" t="s">
        <v>311</v>
      </c>
      <c r="K123" s="846"/>
      <c r="L123" s="833">
        <v>3.6</v>
      </c>
      <c r="M123" s="833"/>
      <c r="N123" s="833"/>
      <c r="O123" s="834">
        <v>23.6</v>
      </c>
      <c r="P123" s="834"/>
      <c r="Q123" s="834"/>
      <c r="R123" s="834"/>
      <c r="S123" s="857">
        <f>L123*O123</f>
        <v>84.960000000000008</v>
      </c>
      <c r="T123" s="857"/>
      <c r="U123" s="857"/>
      <c r="V123" s="857"/>
    </row>
    <row r="124" spans="2:22" ht="17.45" customHeight="1">
      <c r="B124" s="339"/>
      <c r="C124" s="411">
        <v>88321</v>
      </c>
      <c r="D124" s="821" t="s">
        <v>367</v>
      </c>
      <c r="E124" s="821"/>
      <c r="F124" s="821"/>
      <c r="G124" s="821"/>
      <c r="H124" s="821"/>
      <c r="I124" s="821"/>
      <c r="J124" s="822" t="s">
        <v>311</v>
      </c>
      <c r="K124" s="822"/>
      <c r="L124" s="823">
        <v>1.8</v>
      </c>
      <c r="M124" s="823"/>
      <c r="N124" s="823"/>
      <c r="O124" s="824">
        <v>24.68</v>
      </c>
      <c r="P124" s="824"/>
      <c r="Q124" s="824"/>
      <c r="R124" s="824"/>
      <c r="S124" s="857">
        <f>L124*O124</f>
        <v>44.423999999999999</v>
      </c>
      <c r="T124" s="857"/>
      <c r="U124" s="857"/>
      <c r="V124" s="857"/>
    </row>
    <row r="125" spans="2:22" ht="17.45" customHeight="1">
      <c r="B125" s="825"/>
      <c r="C125" s="825"/>
      <c r="D125" s="825"/>
      <c r="E125" s="825"/>
      <c r="F125" s="825"/>
      <c r="G125" s="825"/>
      <c r="H125" s="825"/>
      <c r="I125" s="826" t="s">
        <v>322</v>
      </c>
      <c r="J125" s="826"/>
      <c r="K125" s="826"/>
      <c r="L125" s="826"/>
      <c r="M125" s="826"/>
      <c r="N125" s="826"/>
      <c r="O125" s="826"/>
      <c r="P125" s="826"/>
      <c r="Q125" s="826"/>
      <c r="R125" s="826"/>
      <c r="S125" s="827">
        <f>SUM(S123:V124)</f>
        <v>129.38400000000001</v>
      </c>
      <c r="T125" s="827"/>
      <c r="U125" s="827"/>
      <c r="V125" s="827"/>
    </row>
    <row r="126" spans="2:22" ht="17.45" customHeight="1">
      <c r="B126" s="828"/>
      <c r="C126" s="828"/>
      <c r="D126" s="828"/>
      <c r="E126" s="828"/>
      <c r="F126" s="828"/>
      <c r="G126" s="828"/>
      <c r="H126" s="828"/>
      <c r="I126" s="828"/>
      <c r="J126" s="828"/>
      <c r="K126" s="828"/>
      <c r="L126" s="828"/>
      <c r="M126" s="828"/>
      <c r="N126" s="828"/>
      <c r="O126" s="828"/>
      <c r="P126" s="828"/>
      <c r="Q126" s="828"/>
      <c r="R126" s="828"/>
      <c r="S126" s="828"/>
      <c r="T126" s="828"/>
      <c r="U126" s="828"/>
      <c r="V126" s="828"/>
    </row>
    <row r="127" spans="2:22" ht="17.45" customHeight="1">
      <c r="B127" s="812"/>
      <c r="C127" s="812"/>
      <c r="D127" s="812"/>
      <c r="E127" s="812"/>
      <c r="F127" s="812"/>
      <c r="G127" s="812"/>
      <c r="H127" s="812"/>
      <c r="I127" s="813" t="s">
        <v>323</v>
      </c>
      <c r="J127" s="813"/>
      <c r="K127" s="813"/>
      <c r="L127" s="813"/>
      <c r="M127" s="813"/>
      <c r="N127" s="813"/>
      <c r="O127" s="813"/>
      <c r="P127" s="813"/>
      <c r="Q127" s="813"/>
      <c r="R127" s="813"/>
      <c r="S127" s="814">
        <f>S125</f>
        <v>129.38400000000001</v>
      </c>
      <c r="T127" s="814"/>
      <c r="U127" s="814"/>
      <c r="V127" s="815"/>
    </row>
    <row r="128" spans="2:22" ht="17.45" customHeight="1">
      <c r="B128" s="812"/>
      <c r="C128" s="812"/>
      <c r="D128" s="812"/>
      <c r="E128" s="812"/>
      <c r="F128" s="812"/>
      <c r="G128" s="812"/>
      <c r="H128" s="813" t="s">
        <v>324</v>
      </c>
      <c r="I128" s="813"/>
      <c r="J128" s="813"/>
      <c r="K128" s="813"/>
      <c r="L128" s="813"/>
      <c r="M128" s="829">
        <v>20.7</v>
      </c>
      <c r="N128" s="829"/>
      <c r="O128" s="829"/>
      <c r="P128" s="813" t="s">
        <v>325</v>
      </c>
      <c r="Q128" s="813"/>
      <c r="R128" s="813"/>
      <c r="S128" s="814">
        <f>TRUNC(S127*M128%,2)</f>
        <v>26.78</v>
      </c>
      <c r="T128" s="814"/>
      <c r="U128" s="814"/>
      <c r="V128" s="815"/>
    </row>
    <row r="129" spans="2:22" ht="17.45" customHeight="1">
      <c r="B129" s="812"/>
      <c r="C129" s="812"/>
      <c r="D129" s="812"/>
      <c r="E129" s="812"/>
      <c r="F129" s="812"/>
      <c r="G129" s="812"/>
      <c r="H129" s="812"/>
      <c r="I129" s="813" t="s">
        <v>326</v>
      </c>
      <c r="J129" s="813"/>
      <c r="K129" s="813"/>
      <c r="L129" s="813"/>
      <c r="M129" s="813"/>
      <c r="N129" s="813"/>
      <c r="O129" s="813"/>
      <c r="P129" s="813"/>
      <c r="Q129" s="813"/>
      <c r="R129" s="813"/>
      <c r="S129" s="814">
        <f>S127+S128</f>
        <v>156.16400000000002</v>
      </c>
      <c r="T129" s="814"/>
      <c r="U129" s="814"/>
      <c r="V129" s="815"/>
    </row>
    <row r="130" spans="2:22" ht="144.94999999999999" customHeight="1">
      <c r="B130" s="296"/>
      <c r="V130" s="299"/>
    </row>
    <row r="131" spans="2:22" ht="144.94999999999999" customHeight="1">
      <c r="B131" s="296"/>
      <c r="V131" s="299"/>
    </row>
    <row r="132" spans="2:22" ht="186" customHeight="1">
      <c r="B132" s="296"/>
      <c r="V132" s="299"/>
    </row>
    <row r="133" spans="2:22" ht="49.5" customHeight="1">
      <c r="B133" s="296"/>
      <c r="V133" s="299"/>
    </row>
    <row r="134" spans="2:22" ht="17.45" customHeight="1">
      <c r="B134" s="292"/>
      <c r="C134" s="293"/>
      <c r="D134" s="300"/>
      <c r="E134" s="300"/>
      <c r="F134" s="300"/>
      <c r="G134" s="300"/>
      <c r="H134" s="300"/>
      <c r="I134" s="300"/>
      <c r="J134" s="300"/>
      <c r="K134" s="293"/>
      <c r="L134" s="293"/>
      <c r="M134" s="293"/>
      <c r="N134" s="293"/>
      <c r="O134" s="293"/>
      <c r="P134" s="293"/>
      <c r="Q134" s="293"/>
      <c r="R134" s="293"/>
      <c r="S134" s="293"/>
      <c r="T134" s="293"/>
      <c r="U134" s="293"/>
      <c r="V134" s="295"/>
    </row>
    <row r="135" spans="2:22" ht="17.45" customHeight="1">
      <c r="B135" s="410"/>
      <c r="C135" s="840" t="s">
        <v>297</v>
      </c>
      <c r="D135" s="840"/>
      <c r="E135" s="840"/>
      <c r="F135" s="286"/>
      <c r="G135" s="835" t="s">
        <v>462</v>
      </c>
      <c r="H135" s="835"/>
      <c r="I135" s="835"/>
      <c r="J135" s="835"/>
      <c r="K135" s="835"/>
      <c r="L135" s="835"/>
      <c r="M135" s="287"/>
      <c r="N135" s="836" t="s">
        <v>473</v>
      </c>
      <c r="O135" s="836"/>
      <c r="P135" s="836"/>
      <c r="Q135" s="836"/>
      <c r="R135" s="836"/>
      <c r="S135" s="836"/>
      <c r="T135" s="836"/>
      <c r="U135" s="836"/>
      <c r="V135" s="288"/>
    </row>
    <row r="136" spans="2:22" ht="17.45" customHeight="1">
      <c r="B136" s="289"/>
      <c r="C136" s="840" t="s">
        <v>298</v>
      </c>
      <c r="D136" s="840"/>
      <c r="E136" s="841" t="s">
        <v>368</v>
      </c>
      <c r="F136" s="841"/>
      <c r="G136" s="841"/>
      <c r="H136" s="841"/>
      <c r="I136" s="841"/>
      <c r="J136" s="841"/>
      <c r="K136" s="842" t="s">
        <v>299</v>
      </c>
      <c r="L136" s="842"/>
      <c r="M136" s="290"/>
      <c r="N136" s="843" t="s">
        <v>369</v>
      </c>
      <c r="O136" s="843"/>
      <c r="P136" s="843"/>
      <c r="Q136" s="290"/>
      <c r="R136" s="290"/>
      <c r="S136" s="290"/>
      <c r="T136" s="290"/>
      <c r="U136" s="290"/>
      <c r="V136" s="291"/>
    </row>
    <row r="137" spans="2:22" ht="17.45" customHeight="1">
      <c r="B137" s="292"/>
      <c r="C137" s="840"/>
      <c r="D137" s="840"/>
      <c r="E137" s="841"/>
      <c r="F137" s="841"/>
      <c r="G137" s="841"/>
      <c r="H137" s="841"/>
      <c r="I137" s="841"/>
      <c r="J137" s="841"/>
      <c r="K137" s="844" t="s">
        <v>301</v>
      </c>
      <c r="L137" s="844"/>
      <c r="M137" s="293"/>
      <c r="N137" s="845">
        <v>1</v>
      </c>
      <c r="O137" s="845"/>
      <c r="P137" s="845"/>
      <c r="Q137" s="293"/>
      <c r="R137" s="844" t="s">
        <v>302</v>
      </c>
      <c r="S137" s="844"/>
      <c r="T137" s="293"/>
      <c r="U137" s="294" t="s">
        <v>303</v>
      </c>
      <c r="V137" s="295"/>
    </row>
    <row r="138" spans="2:22" ht="17.45" customHeight="1">
      <c r="B138" s="830" t="s">
        <v>304</v>
      </c>
      <c r="C138" s="830"/>
      <c r="D138" s="831" t="s">
        <v>210</v>
      </c>
      <c r="E138" s="831"/>
      <c r="F138" s="831"/>
      <c r="G138" s="831"/>
      <c r="H138" s="831"/>
      <c r="I138" s="831"/>
      <c r="J138" s="830" t="s">
        <v>211</v>
      </c>
      <c r="K138" s="830"/>
      <c r="L138" s="830" t="s">
        <v>213</v>
      </c>
      <c r="M138" s="830"/>
      <c r="N138" s="830"/>
      <c r="O138" s="831" t="s">
        <v>305</v>
      </c>
      <c r="P138" s="831"/>
      <c r="Q138" s="831"/>
      <c r="R138" s="831"/>
      <c r="S138" s="831" t="s">
        <v>306</v>
      </c>
      <c r="T138" s="831"/>
      <c r="U138" s="831"/>
      <c r="V138" s="831"/>
    </row>
    <row r="139" spans="2:22" ht="17.45" customHeight="1">
      <c r="B139" s="338"/>
      <c r="C139" s="413" t="s">
        <v>370</v>
      </c>
      <c r="D139" s="832" t="s">
        <v>371</v>
      </c>
      <c r="E139" s="832"/>
      <c r="F139" s="832"/>
      <c r="G139" s="832"/>
      <c r="H139" s="832"/>
      <c r="I139" s="832"/>
      <c r="J139" s="846" t="s">
        <v>372</v>
      </c>
      <c r="K139" s="846"/>
      <c r="L139" s="833">
        <v>3.0000000000000001E-3</v>
      </c>
      <c r="M139" s="833"/>
      <c r="N139" s="833"/>
      <c r="O139" s="834">
        <v>197.94</v>
      </c>
      <c r="P139" s="834"/>
      <c r="Q139" s="834"/>
      <c r="R139" s="834"/>
      <c r="S139" s="847">
        <f>L139*O139</f>
        <v>0.59382000000000001</v>
      </c>
      <c r="T139" s="847"/>
      <c r="U139" s="847"/>
      <c r="V139" s="847"/>
    </row>
    <row r="140" spans="2:22" ht="17.45" customHeight="1">
      <c r="B140" s="339"/>
      <c r="C140" s="411" t="s">
        <v>312</v>
      </c>
      <c r="D140" s="821" t="s">
        <v>313</v>
      </c>
      <c r="E140" s="821"/>
      <c r="F140" s="821"/>
      <c r="G140" s="821"/>
      <c r="H140" s="821"/>
      <c r="I140" s="821"/>
      <c r="J140" s="822" t="s">
        <v>311</v>
      </c>
      <c r="K140" s="822"/>
      <c r="L140" s="823">
        <v>3.0000000000000001E-3</v>
      </c>
      <c r="M140" s="823"/>
      <c r="N140" s="823"/>
      <c r="O140" s="824">
        <v>16.829999999999998</v>
      </c>
      <c r="P140" s="824"/>
      <c r="Q140" s="824"/>
      <c r="R140" s="824"/>
      <c r="S140" s="837">
        <f>L140*O140</f>
        <v>5.0489999999999993E-2</v>
      </c>
      <c r="T140" s="838"/>
      <c r="U140" s="838"/>
      <c r="V140" s="839"/>
    </row>
    <row r="141" spans="2:22" ht="17.45" customHeight="1">
      <c r="B141" s="825"/>
      <c r="C141" s="825"/>
      <c r="D141" s="825"/>
      <c r="E141" s="825"/>
      <c r="F141" s="825"/>
      <c r="G141" s="825"/>
      <c r="H141" s="825"/>
      <c r="I141" s="826" t="s">
        <v>322</v>
      </c>
      <c r="J141" s="826"/>
      <c r="K141" s="826"/>
      <c r="L141" s="826"/>
      <c r="M141" s="826"/>
      <c r="N141" s="826"/>
      <c r="O141" s="826"/>
      <c r="P141" s="826"/>
      <c r="Q141" s="826"/>
      <c r="R141" s="826"/>
      <c r="S141" s="827">
        <f>SUM(S139:V140)</f>
        <v>0.64431000000000005</v>
      </c>
      <c r="T141" s="827"/>
      <c r="U141" s="827"/>
      <c r="V141" s="827"/>
    </row>
    <row r="142" spans="2:22" ht="17.45" customHeight="1">
      <c r="B142" s="828"/>
      <c r="C142" s="828"/>
      <c r="D142" s="828"/>
      <c r="E142" s="828"/>
      <c r="F142" s="828"/>
      <c r="G142" s="828"/>
      <c r="H142" s="828"/>
      <c r="I142" s="828"/>
      <c r="J142" s="828"/>
      <c r="K142" s="828"/>
      <c r="L142" s="828"/>
      <c r="M142" s="828"/>
      <c r="N142" s="828"/>
      <c r="O142" s="828"/>
      <c r="P142" s="828"/>
      <c r="Q142" s="828"/>
      <c r="R142" s="828"/>
      <c r="S142" s="828"/>
      <c r="T142" s="828"/>
      <c r="U142" s="828"/>
      <c r="V142" s="828"/>
    </row>
    <row r="143" spans="2:22" ht="17.45" customHeight="1">
      <c r="B143" s="812"/>
      <c r="C143" s="812"/>
      <c r="D143" s="812"/>
      <c r="E143" s="812"/>
      <c r="F143" s="812"/>
      <c r="G143" s="812"/>
      <c r="H143" s="812"/>
      <c r="I143" s="813" t="s">
        <v>323</v>
      </c>
      <c r="J143" s="813"/>
      <c r="K143" s="813"/>
      <c r="L143" s="813"/>
      <c r="M143" s="813"/>
      <c r="N143" s="813"/>
      <c r="O143" s="813"/>
      <c r="P143" s="813"/>
      <c r="Q143" s="813"/>
      <c r="R143" s="813"/>
      <c r="S143" s="814">
        <f>S141</f>
        <v>0.64431000000000005</v>
      </c>
      <c r="T143" s="814"/>
      <c r="U143" s="814"/>
      <c r="V143" s="815"/>
    </row>
    <row r="144" spans="2:22" ht="17.45" customHeight="1">
      <c r="B144" s="812"/>
      <c r="C144" s="812"/>
      <c r="D144" s="812"/>
      <c r="E144" s="812"/>
      <c r="F144" s="812"/>
      <c r="G144" s="812"/>
      <c r="H144" s="813" t="s">
        <v>324</v>
      </c>
      <c r="I144" s="813"/>
      <c r="J144" s="813"/>
      <c r="K144" s="813"/>
      <c r="L144" s="813"/>
      <c r="M144" s="829">
        <v>20.7</v>
      </c>
      <c r="N144" s="829"/>
      <c r="O144" s="829"/>
      <c r="P144" s="813" t="s">
        <v>325</v>
      </c>
      <c r="Q144" s="813"/>
      <c r="R144" s="813"/>
      <c r="S144" s="814">
        <f>TRUNC(S143*M144%,2)</f>
        <v>0.13</v>
      </c>
      <c r="T144" s="814"/>
      <c r="U144" s="814"/>
      <c r="V144" s="815"/>
    </row>
    <row r="145" spans="2:22" ht="17.45" customHeight="1">
      <c r="B145" s="812"/>
      <c r="C145" s="812"/>
      <c r="D145" s="812"/>
      <c r="E145" s="812"/>
      <c r="F145" s="812"/>
      <c r="G145" s="812"/>
      <c r="H145" s="812"/>
      <c r="I145" s="813" t="s">
        <v>326</v>
      </c>
      <c r="J145" s="813"/>
      <c r="K145" s="813"/>
      <c r="L145" s="813"/>
      <c r="M145" s="813"/>
      <c r="N145" s="813"/>
      <c r="O145" s="813"/>
      <c r="P145" s="813"/>
      <c r="Q145" s="813"/>
      <c r="R145" s="813"/>
      <c r="S145" s="814">
        <f>S143+S144</f>
        <v>0.77431000000000005</v>
      </c>
      <c r="T145" s="814"/>
      <c r="U145" s="814"/>
      <c r="V145" s="815"/>
    </row>
    <row r="146" spans="2:22" ht="144.94999999999999" customHeight="1">
      <c r="B146" s="296"/>
      <c r="V146" s="299"/>
    </row>
    <row r="147" spans="2:22" ht="144.94999999999999" customHeight="1">
      <c r="B147" s="296"/>
      <c r="V147" s="299"/>
    </row>
    <row r="148" spans="2:22" ht="195" customHeight="1">
      <c r="B148" s="296"/>
      <c r="V148" s="299"/>
    </row>
    <row r="149" spans="2:22" ht="33" customHeight="1">
      <c r="B149" s="296"/>
      <c r="V149" s="299"/>
    </row>
    <row r="150" spans="2:22" ht="24.75" customHeight="1">
      <c r="B150" s="292"/>
      <c r="C150" s="293"/>
      <c r="D150" s="300"/>
      <c r="E150" s="300"/>
      <c r="F150" s="300"/>
      <c r="G150" s="300"/>
      <c r="H150" s="300"/>
      <c r="I150" s="300"/>
      <c r="J150" s="300"/>
      <c r="K150" s="293"/>
      <c r="L150" s="293"/>
      <c r="M150" s="293"/>
      <c r="N150" s="293"/>
      <c r="O150" s="293"/>
      <c r="P150" s="293"/>
      <c r="Q150" s="293"/>
      <c r="R150" s="293"/>
      <c r="S150" s="293"/>
      <c r="T150" s="293"/>
      <c r="U150" s="293"/>
      <c r="V150" s="295"/>
    </row>
    <row r="151" spans="2:22" ht="17.45" customHeight="1">
      <c r="B151" s="410"/>
      <c r="C151" s="840" t="s">
        <v>297</v>
      </c>
      <c r="D151" s="840"/>
      <c r="E151" s="840"/>
      <c r="F151" s="286"/>
      <c r="G151" s="835" t="s">
        <v>462</v>
      </c>
      <c r="H151" s="835"/>
      <c r="I151" s="835"/>
      <c r="J151" s="835"/>
      <c r="K151" s="835"/>
      <c r="L151" s="835"/>
      <c r="M151" s="287"/>
      <c r="N151" s="836" t="s">
        <v>473</v>
      </c>
      <c r="O151" s="836"/>
      <c r="P151" s="836"/>
      <c r="Q151" s="836"/>
      <c r="R151" s="836"/>
      <c r="S151" s="836"/>
      <c r="T151" s="836"/>
      <c r="U151" s="836"/>
      <c r="V151" s="288"/>
    </row>
    <row r="152" spans="2:22" ht="17.45" customHeight="1">
      <c r="B152" s="289"/>
      <c r="C152" s="840" t="s">
        <v>298</v>
      </c>
      <c r="D152" s="840"/>
      <c r="E152" s="841" t="s">
        <v>373</v>
      </c>
      <c r="F152" s="841"/>
      <c r="G152" s="841"/>
      <c r="H152" s="841"/>
      <c r="I152" s="841"/>
      <c r="J152" s="841"/>
      <c r="K152" s="842" t="s">
        <v>299</v>
      </c>
      <c r="L152" s="842"/>
      <c r="M152" s="290"/>
      <c r="N152" s="843" t="s">
        <v>374</v>
      </c>
      <c r="O152" s="843"/>
      <c r="P152" s="843"/>
      <c r="Q152" s="290"/>
      <c r="R152" s="290"/>
      <c r="S152" s="290"/>
      <c r="T152" s="290"/>
      <c r="U152" s="290"/>
      <c r="V152" s="291"/>
    </row>
    <row r="153" spans="2:22" ht="17.45" customHeight="1">
      <c r="B153" s="292"/>
      <c r="C153" s="840"/>
      <c r="D153" s="840"/>
      <c r="E153" s="841"/>
      <c r="F153" s="841"/>
      <c r="G153" s="841"/>
      <c r="H153" s="841"/>
      <c r="I153" s="841"/>
      <c r="J153" s="841"/>
      <c r="K153" s="844" t="s">
        <v>301</v>
      </c>
      <c r="L153" s="844"/>
      <c r="M153" s="293"/>
      <c r="N153" s="845">
        <v>1</v>
      </c>
      <c r="O153" s="845"/>
      <c r="P153" s="845"/>
      <c r="Q153" s="293"/>
      <c r="R153" s="844" t="s">
        <v>302</v>
      </c>
      <c r="S153" s="844"/>
      <c r="T153" s="293"/>
      <c r="U153" s="294" t="s">
        <v>309</v>
      </c>
      <c r="V153" s="295"/>
    </row>
    <row r="154" spans="2:22" ht="17.45" customHeight="1">
      <c r="B154" s="830" t="s">
        <v>304</v>
      </c>
      <c r="C154" s="830"/>
      <c r="D154" s="831" t="s">
        <v>210</v>
      </c>
      <c r="E154" s="831"/>
      <c r="F154" s="831"/>
      <c r="G154" s="831"/>
      <c r="H154" s="831"/>
      <c r="I154" s="831"/>
      <c r="J154" s="830" t="s">
        <v>211</v>
      </c>
      <c r="K154" s="830"/>
      <c r="L154" s="830" t="s">
        <v>213</v>
      </c>
      <c r="M154" s="830"/>
      <c r="N154" s="830"/>
      <c r="O154" s="831" t="s">
        <v>305</v>
      </c>
      <c r="P154" s="831"/>
      <c r="Q154" s="831"/>
      <c r="R154" s="831"/>
      <c r="S154" s="831" t="s">
        <v>306</v>
      </c>
      <c r="T154" s="831"/>
      <c r="U154" s="831"/>
      <c r="V154" s="831"/>
    </row>
    <row r="155" spans="2:22" ht="17.45" customHeight="1">
      <c r="B155" s="338"/>
      <c r="C155" s="413">
        <v>5847</v>
      </c>
      <c r="D155" s="832" t="s">
        <v>376</v>
      </c>
      <c r="E155" s="832"/>
      <c r="F155" s="832"/>
      <c r="G155" s="832"/>
      <c r="H155" s="832"/>
      <c r="I155" s="832"/>
      <c r="J155" s="846" t="s">
        <v>372</v>
      </c>
      <c r="K155" s="846"/>
      <c r="L155" s="833">
        <v>7.9399999999999991E-3</v>
      </c>
      <c r="M155" s="833"/>
      <c r="N155" s="833"/>
      <c r="O155" s="834">
        <v>220.74</v>
      </c>
      <c r="P155" s="834"/>
      <c r="Q155" s="834"/>
      <c r="R155" s="834"/>
      <c r="S155" s="847">
        <f>L155*O155</f>
        <v>1.7526755999999999</v>
      </c>
      <c r="T155" s="847"/>
      <c r="U155" s="847"/>
      <c r="V155" s="847"/>
    </row>
    <row r="156" spans="2:22" ht="17.45" customHeight="1">
      <c r="B156" s="339"/>
      <c r="C156" s="411" t="s">
        <v>312</v>
      </c>
      <c r="D156" s="821" t="s">
        <v>313</v>
      </c>
      <c r="E156" s="821"/>
      <c r="F156" s="821"/>
      <c r="G156" s="821"/>
      <c r="H156" s="821"/>
      <c r="I156" s="821"/>
      <c r="J156" s="822" t="s">
        <v>311</v>
      </c>
      <c r="K156" s="822"/>
      <c r="L156" s="823">
        <v>6.8999999999999999E-3</v>
      </c>
      <c r="M156" s="823"/>
      <c r="N156" s="823"/>
      <c r="O156" s="824">
        <v>16.829999999999998</v>
      </c>
      <c r="P156" s="824"/>
      <c r="Q156" s="824"/>
      <c r="R156" s="824"/>
      <c r="S156" s="837">
        <f>L156*O156</f>
        <v>0.11612699999999998</v>
      </c>
      <c r="T156" s="838"/>
      <c r="U156" s="838"/>
      <c r="V156" s="839"/>
    </row>
    <row r="157" spans="2:22" ht="17.45" customHeight="1">
      <c r="B157" s="825"/>
      <c r="C157" s="825"/>
      <c r="D157" s="825"/>
      <c r="E157" s="825"/>
      <c r="F157" s="825"/>
      <c r="G157" s="825"/>
      <c r="H157" s="825"/>
      <c r="I157" s="826" t="s">
        <v>322</v>
      </c>
      <c r="J157" s="826"/>
      <c r="K157" s="826"/>
      <c r="L157" s="826"/>
      <c r="M157" s="826"/>
      <c r="N157" s="826"/>
      <c r="O157" s="826"/>
      <c r="P157" s="826"/>
      <c r="Q157" s="826"/>
      <c r="R157" s="826"/>
      <c r="S157" s="827">
        <f>SUM(S155:V156)</f>
        <v>1.8688026</v>
      </c>
      <c r="T157" s="827"/>
      <c r="U157" s="827"/>
      <c r="V157" s="827"/>
    </row>
    <row r="158" spans="2:22" ht="17.45" customHeight="1">
      <c r="B158" s="828"/>
      <c r="C158" s="828"/>
      <c r="D158" s="828"/>
      <c r="E158" s="828"/>
      <c r="F158" s="828"/>
      <c r="G158" s="828"/>
      <c r="H158" s="828"/>
      <c r="I158" s="828"/>
      <c r="J158" s="828"/>
      <c r="K158" s="828"/>
      <c r="L158" s="828"/>
      <c r="M158" s="828"/>
      <c r="N158" s="828"/>
      <c r="O158" s="828"/>
      <c r="P158" s="828"/>
      <c r="Q158" s="828"/>
      <c r="R158" s="828"/>
      <c r="S158" s="828"/>
      <c r="T158" s="828"/>
      <c r="U158" s="828"/>
      <c r="V158" s="828"/>
    </row>
    <row r="159" spans="2:22" ht="17.45" customHeight="1">
      <c r="B159" s="812"/>
      <c r="C159" s="812"/>
      <c r="D159" s="812"/>
      <c r="E159" s="812"/>
      <c r="F159" s="812"/>
      <c r="G159" s="812"/>
      <c r="H159" s="812"/>
      <c r="I159" s="813" t="s">
        <v>323</v>
      </c>
      <c r="J159" s="813"/>
      <c r="K159" s="813"/>
      <c r="L159" s="813"/>
      <c r="M159" s="813"/>
      <c r="N159" s="813"/>
      <c r="O159" s="813"/>
      <c r="P159" s="813"/>
      <c r="Q159" s="813"/>
      <c r="R159" s="813"/>
      <c r="S159" s="814">
        <f>S157</f>
        <v>1.8688026</v>
      </c>
      <c r="T159" s="814"/>
      <c r="U159" s="814"/>
      <c r="V159" s="815"/>
    </row>
    <row r="160" spans="2:22" ht="17.45" customHeight="1">
      <c r="B160" s="812"/>
      <c r="C160" s="812"/>
      <c r="D160" s="812"/>
      <c r="E160" s="812"/>
      <c r="F160" s="812"/>
      <c r="G160" s="812"/>
      <c r="H160" s="813" t="s">
        <v>324</v>
      </c>
      <c r="I160" s="813"/>
      <c r="J160" s="813"/>
      <c r="K160" s="813"/>
      <c r="L160" s="813"/>
      <c r="M160" s="829">
        <v>20.7</v>
      </c>
      <c r="N160" s="829"/>
      <c r="O160" s="829"/>
      <c r="P160" s="813" t="s">
        <v>325</v>
      </c>
      <c r="Q160" s="813"/>
      <c r="R160" s="813"/>
      <c r="S160" s="814">
        <f>TRUNC(S159*M160%,2)</f>
        <v>0.38</v>
      </c>
      <c r="T160" s="814"/>
      <c r="U160" s="814"/>
      <c r="V160" s="815"/>
    </row>
    <row r="161" spans="2:22" ht="17.45" customHeight="1">
      <c r="B161" s="812"/>
      <c r="C161" s="812"/>
      <c r="D161" s="812"/>
      <c r="E161" s="812"/>
      <c r="F161" s="812"/>
      <c r="G161" s="812"/>
      <c r="H161" s="812"/>
      <c r="I161" s="813" t="s">
        <v>326</v>
      </c>
      <c r="J161" s="813"/>
      <c r="K161" s="813"/>
      <c r="L161" s="813"/>
      <c r="M161" s="813"/>
      <c r="N161" s="813"/>
      <c r="O161" s="813"/>
      <c r="P161" s="813"/>
      <c r="Q161" s="813"/>
      <c r="R161" s="813"/>
      <c r="S161" s="814">
        <f>S159+S160</f>
        <v>2.2488025999999999</v>
      </c>
      <c r="T161" s="814"/>
      <c r="U161" s="814"/>
      <c r="V161" s="815"/>
    </row>
    <row r="162" spans="2:22" ht="144.94999999999999" customHeight="1">
      <c r="B162" s="296"/>
      <c r="V162" s="299"/>
    </row>
    <row r="163" spans="2:22" ht="144.94999999999999" customHeight="1">
      <c r="B163" s="296"/>
      <c r="V163" s="299"/>
    </row>
    <row r="164" spans="2:22" ht="144.94999999999999" customHeight="1">
      <c r="B164" s="296"/>
      <c r="V164" s="299"/>
    </row>
    <row r="165" spans="2:22" ht="96.75" customHeight="1">
      <c r="B165" s="296"/>
      <c r="V165" s="299"/>
    </row>
    <row r="166" spans="2:22" ht="17.45" customHeight="1">
      <c r="B166" s="292"/>
      <c r="C166" s="293"/>
      <c r="D166" s="300"/>
      <c r="E166" s="300"/>
      <c r="F166" s="300"/>
      <c r="G166" s="300"/>
      <c r="H166" s="300"/>
      <c r="I166" s="300"/>
      <c r="J166" s="300"/>
      <c r="K166" s="293"/>
      <c r="L166" s="293"/>
      <c r="M166" s="293"/>
      <c r="N166" s="293"/>
      <c r="O166" s="293"/>
      <c r="P166" s="293"/>
      <c r="Q166" s="293"/>
      <c r="R166" s="293"/>
      <c r="S166" s="293"/>
      <c r="T166" s="293"/>
      <c r="U166" s="293"/>
      <c r="V166" s="295"/>
    </row>
    <row r="167" spans="2:22" ht="17.45" customHeight="1">
      <c r="B167" s="410"/>
      <c r="C167" s="840" t="s">
        <v>297</v>
      </c>
      <c r="D167" s="840"/>
      <c r="E167" s="840"/>
      <c r="F167" s="286"/>
      <c r="G167" s="835" t="s">
        <v>462</v>
      </c>
      <c r="H167" s="835"/>
      <c r="I167" s="835"/>
      <c r="J167" s="835"/>
      <c r="K167" s="835"/>
      <c r="L167" s="835"/>
      <c r="M167" s="287"/>
      <c r="N167" s="836" t="s">
        <v>473</v>
      </c>
      <c r="O167" s="836"/>
      <c r="P167" s="836"/>
      <c r="Q167" s="836"/>
      <c r="R167" s="836"/>
      <c r="S167" s="836"/>
      <c r="T167" s="836"/>
      <c r="U167" s="836"/>
      <c r="V167" s="288"/>
    </row>
    <row r="168" spans="2:22" ht="17.45" customHeight="1">
      <c r="B168" s="289"/>
      <c r="C168" s="840" t="s">
        <v>298</v>
      </c>
      <c r="D168" s="840"/>
      <c r="E168" s="841" t="s">
        <v>380</v>
      </c>
      <c r="F168" s="841"/>
      <c r="G168" s="841"/>
      <c r="H168" s="841"/>
      <c r="I168" s="841"/>
      <c r="J168" s="841"/>
      <c r="K168" s="842" t="s">
        <v>299</v>
      </c>
      <c r="L168" s="842"/>
      <c r="M168" s="290"/>
      <c r="N168" s="843" t="s">
        <v>381</v>
      </c>
      <c r="O168" s="843"/>
      <c r="P168" s="843"/>
      <c r="Q168" s="290"/>
      <c r="R168" s="290"/>
      <c r="S168" s="290"/>
      <c r="T168" s="290"/>
      <c r="U168" s="290"/>
      <c r="V168" s="291"/>
    </row>
    <row r="169" spans="2:22" ht="17.45" customHeight="1">
      <c r="B169" s="292"/>
      <c r="C169" s="840"/>
      <c r="D169" s="840"/>
      <c r="E169" s="841"/>
      <c r="F169" s="841"/>
      <c r="G169" s="841"/>
      <c r="H169" s="841"/>
      <c r="I169" s="841"/>
      <c r="J169" s="841"/>
      <c r="K169" s="844" t="s">
        <v>301</v>
      </c>
      <c r="L169" s="844"/>
      <c r="M169" s="293"/>
      <c r="N169" s="845">
        <v>1</v>
      </c>
      <c r="O169" s="845"/>
      <c r="P169" s="845"/>
      <c r="Q169" s="293"/>
      <c r="R169" s="844" t="s">
        <v>302</v>
      </c>
      <c r="S169" s="844"/>
      <c r="T169" s="293"/>
      <c r="U169" s="294" t="s">
        <v>309</v>
      </c>
      <c r="V169" s="295"/>
    </row>
    <row r="170" spans="2:22" ht="17.45" customHeight="1">
      <c r="B170" s="830" t="s">
        <v>304</v>
      </c>
      <c r="C170" s="830"/>
      <c r="D170" s="831" t="s">
        <v>210</v>
      </c>
      <c r="E170" s="831"/>
      <c r="F170" s="831"/>
      <c r="G170" s="831"/>
      <c r="H170" s="831"/>
      <c r="I170" s="831"/>
      <c r="J170" s="830" t="s">
        <v>211</v>
      </c>
      <c r="K170" s="830"/>
      <c r="L170" s="830" t="s">
        <v>213</v>
      </c>
      <c r="M170" s="830"/>
      <c r="N170" s="830"/>
      <c r="O170" s="831" t="s">
        <v>305</v>
      </c>
      <c r="P170" s="831"/>
      <c r="Q170" s="831"/>
      <c r="R170" s="831"/>
      <c r="S170" s="831" t="s">
        <v>306</v>
      </c>
      <c r="T170" s="831"/>
      <c r="U170" s="831"/>
      <c r="V170" s="831"/>
    </row>
    <row r="171" spans="2:22" ht="17.45" customHeight="1">
      <c r="B171" s="338"/>
      <c r="C171" s="413" t="s">
        <v>375</v>
      </c>
      <c r="D171" s="832" t="s">
        <v>376</v>
      </c>
      <c r="E171" s="832"/>
      <c r="F171" s="832"/>
      <c r="G171" s="832"/>
      <c r="H171" s="832"/>
      <c r="I171" s="832"/>
      <c r="J171" s="846" t="s">
        <v>372</v>
      </c>
      <c r="K171" s="846"/>
      <c r="L171" s="833">
        <v>2.9867000000000001E-3</v>
      </c>
      <c r="M171" s="833"/>
      <c r="N171" s="833"/>
      <c r="O171" s="834">
        <v>220.74</v>
      </c>
      <c r="P171" s="834"/>
      <c r="Q171" s="834"/>
      <c r="R171" s="834"/>
      <c r="S171" s="847">
        <f>L171*O171</f>
        <v>0.65928415800000006</v>
      </c>
      <c r="T171" s="847"/>
      <c r="U171" s="847"/>
      <c r="V171" s="847"/>
    </row>
    <row r="172" spans="2:22" ht="17.45" customHeight="1">
      <c r="B172" s="339"/>
      <c r="C172" s="411" t="s">
        <v>312</v>
      </c>
      <c r="D172" s="821" t="s">
        <v>313</v>
      </c>
      <c r="E172" s="821"/>
      <c r="F172" s="821"/>
      <c r="G172" s="821"/>
      <c r="H172" s="821"/>
      <c r="I172" s="821"/>
      <c r="J172" s="822" t="s">
        <v>311</v>
      </c>
      <c r="K172" s="822"/>
      <c r="L172" s="823">
        <v>2.5499999999999998E-2</v>
      </c>
      <c r="M172" s="823"/>
      <c r="N172" s="823"/>
      <c r="O172" s="824">
        <v>16.829999999999998</v>
      </c>
      <c r="P172" s="824"/>
      <c r="Q172" s="824"/>
      <c r="R172" s="824"/>
      <c r="S172" s="837">
        <f>L172*O172</f>
        <v>0.42916499999999991</v>
      </c>
      <c r="T172" s="838"/>
      <c r="U172" s="838"/>
      <c r="V172" s="839"/>
    </row>
    <row r="173" spans="2:22" ht="17.45" customHeight="1">
      <c r="B173" s="825"/>
      <c r="C173" s="825"/>
      <c r="D173" s="825"/>
      <c r="E173" s="825"/>
      <c r="F173" s="825"/>
      <c r="G173" s="825"/>
      <c r="H173" s="825"/>
      <c r="I173" s="826" t="s">
        <v>322</v>
      </c>
      <c r="J173" s="826"/>
      <c r="K173" s="826"/>
      <c r="L173" s="826"/>
      <c r="M173" s="826"/>
      <c r="N173" s="826"/>
      <c r="O173" s="826"/>
      <c r="P173" s="826"/>
      <c r="Q173" s="826"/>
      <c r="R173" s="826"/>
      <c r="S173" s="827">
        <f>SUM(S171:V172)</f>
        <v>1.088449158</v>
      </c>
      <c r="T173" s="827"/>
      <c r="U173" s="827"/>
      <c r="V173" s="827"/>
    </row>
    <row r="174" spans="2:22" ht="17.45" customHeight="1">
      <c r="B174" s="828"/>
      <c r="C174" s="828"/>
      <c r="D174" s="828"/>
      <c r="E174" s="828"/>
      <c r="F174" s="828"/>
      <c r="G174" s="828"/>
      <c r="H174" s="828"/>
      <c r="I174" s="828"/>
      <c r="J174" s="828"/>
      <c r="K174" s="828"/>
      <c r="L174" s="828"/>
      <c r="M174" s="828"/>
      <c r="N174" s="828"/>
      <c r="O174" s="828"/>
      <c r="P174" s="828"/>
      <c r="Q174" s="828"/>
      <c r="R174" s="828"/>
      <c r="S174" s="828"/>
      <c r="T174" s="828"/>
      <c r="U174" s="828"/>
      <c r="V174" s="828"/>
    </row>
    <row r="175" spans="2:22" ht="17.45" customHeight="1">
      <c r="B175" s="812"/>
      <c r="C175" s="812"/>
      <c r="D175" s="812"/>
      <c r="E175" s="812"/>
      <c r="F175" s="812"/>
      <c r="G175" s="812"/>
      <c r="H175" s="812"/>
      <c r="I175" s="813" t="s">
        <v>323</v>
      </c>
      <c r="J175" s="813"/>
      <c r="K175" s="813"/>
      <c r="L175" s="813"/>
      <c r="M175" s="813"/>
      <c r="N175" s="813"/>
      <c r="O175" s="813"/>
      <c r="P175" s="813"/>
      <c r="Q175" s="813"/>
      <c r="R175" s="813"/>
      <c r="S175" s="814">
        <f>S173</f>
        <v>1.088449158</v>
      </c>
      <c r="T175" s="814"/>
      <c r="U175" s="814"/>
      <c r="V175" s="815"/>
    </row>
    <row r="176" spans="2:22" ht="17.45" customHeight="1">
      <c r="B176" s="812"/>
      <c r="C176" s="812"/>
      <c r="D176" s="812"/>
      <c r="E176" s="812"/>
      <c r="F176" s="812"/>
      <c r="G176" s="812"/>
      <c r="H176" s="813" t="s">
        <v>324</v>
      </c>
      <c r="I176" s="813"/>
      <c r="J176" s="813"/>
      <c r="K176" s="813"/>
      <c r="L176" s="813"/>
      <c r="M176" s="829">
        <v>20.7</v>
      </c>
      <c r="N176" s="829"/>
      <c r="O176" s="829"/>
      <c r="P176" s="813" t="s">
        <v>325</v>
      </c>
      <c r="Q176" s="813"/>
      <c r="R176" s="813"/>
      <c r="S176" s="814">
        <f>TRUNC(S175*M176%,2)</f>
        <v>0.22</v>
      </c>
      <c r="T176" s="814"/>
      <c r="U176" s="814"/>
      <c r="V176" s="815"/>
    </row>
    <row r="177" spans="2:22" ht="17.45" customHeight="1">
      <c r="B177" s="812"/>
      <c r="C177" s="812"/>
      <c r="D177" s="812"/>
      <c r="E177" s="812"/>
      <c r="F177" s="812"/>
      <c r="G177" s="812"/>
      <c r="H177" s="812"/>
      <c r="I177" s="813" t="s">
        <v>326</v>
      </c>
      <c r="J177" s="813"/>
      <c r="K177" s="813"/>
      <c r="L177" s="813"/>
      <c r="M177" s="813"/>
      <c r="N177" s="813"/>
      <c r="O177" s="813"/>
      <c r="P177" s="813"/>
      <c r="Q177" s="813"/>
      <c r="R177" s="813"/>
      <c r="S177" s="814">
        <f>S175+S176</f>
        <v>1.3084491579999999</v>
      </c>
      <c r="T177" s="814"/>
      <c r="U177" s="814"/>
      <c r="V177" s="815"/>
    </row>
    <row r="178" spans="2:22" ht="144.94999999999999" customHeight="1">
      <c r="B178" s="296"/>
      <c r="V178" s="299"/>
    </row>
    <row r="179" spans="2:22" ht="144.94999999999999" customHeight="1">
      <c r="B179" s="296"/>
      <c r="V179" s="299"/>
    </row>
    <row r="180" spans="2:22" ht="213.75" customHeight="1">
      <c r="B180" s="296"/>
      <c r="V180" s="299"/>
    </row>
    <row r="181" spans="2:22" ht="17.45" customHeight="1">
      <c r="B181" s="296"/>
      <c r="V181" s="299"/>
    </row>
    <row r="182" spans="2:22" ht="17.45" customHeight="1">
      <c r="B182" s="292"/>
      <c r="C182" s="293"/>
      <c r="D182" s="300"/>
      <c r="E182" s="300"/>
      <c r="F182" s="300"/>
      <c r="G182" s="300"/>
      <c r="H182" s="300"/>
      <c r="I182" s="300"/>
      <c r="J182" s="300"/>
      <c r="K182" s="293"/>
      <c r="L182" s="293"/>
      <c r="M182" s="293"/>
      <c r="N182" s="293"/>
      <c r="O182" s="293"/>
      <c r="P182" s="293"/>
      <c r="Q182" s="293"/>
      <c r="R182" s="293"/>
      <c r="S182" s="293"/>
      <c r="T182" s="293"/>
      <c r="U182" s="293"/>
      <c r="V182" s="295"/>
    </row>
    <row r="183" spans="2:22" ht="17.45" customHeight="1">
      <c r="B183" s="410"/>
      <c r="C183" s="840" t="s">
        <v>297</v>
      </c>
      <c r="D183" s="840"/>
      <c r="E183" s="840"/>
      <c r="F183" s="286"/>
      <c r="G183" s="835" t="s">
        <v>462</v>
      </c>
      <c r="H183" s="835"/>
      <c r="I183" s="835"/>
      <c r="J183" s="835"/>
      <c r="K183" s="835"/>
      <c r="L183" s="835"/>
      <c r="M183" s="287"/>
      <c r="N183" s="836" t="s">
        <v>473</v>
      </c>
      <c r="O183" s="836"/>
      <c r="P183" s="836"/>
      <c r="Q183" s="836"/>
      <c r="R183" s="836"/>
      <c r="S183" s="836"/>
      <c r="T183" s="836"/>
      <c r="U183" s="836"/>
      <c r="V183" s="288"/>
    </row>
    <row r="184" spans="2:22" ht="17.45" customHeight="1">
      <c r="B184" s="289"/>
      <c r="C184" s="840" t="s">
        <v>298</v>
      </c>
      <c r="D184" s="840"/>
      <c r="E184" s="841" t="s">
        <v>382</v>
      </c>
      <c r="F184" s="841"/>
      <c r="G184" s="841"/>
      <c r="H184" s="841"/>
      <c r="I184" s="841"/>
      <c r="J184" s="841"/>
      <c r="K184" s="842" t="s">
        <v>299</v>
      </c>
      <c r="L184" s="842"/>
      <c r="M184" s="290"/>
      <c r="N184" s="843" t="s">
        <v>383</v>
      </c>
      <c r="O184" s="843"/>
      <c r="P184" s="843"/>
      <c r="Q184" s="290"/>
      <c r="R184" s="290"/>
      <c r="S184" s="290"/>
      <c r="T184" s="290"/>
      <c r="U184" s="290"/>
      <c r="V184" s="291"/>
    </row>
    <row r="185" spans="2:22" ht="17.45" customHeight="1">
      <c r="B185" s="292"/>
      <c r="C185" s="840"/>
      <c r="D185" s="840"/>
      <c r="E185" s="841"/>
      <c r="F185" s="841"/>
      <c r="G185" s="841"/>
      <c r="H185" s="841"/>
      <c r="I185" s="841"/>
      <c r="J185" s="841"/>
      <c r="K185" s="844" t="s">
        <v>301</v>
      </c>
      <c r="L185" s="844"/>
      <c r="M185" s="293"/>
      <c r="N185" s="845">
        <v>1</v>
      </c>
      <c r="O185" s="845"/>
      <c r="P185" s="845"/>
      <c r="Q185" s="293"/>
      <c r="R185" s="844" t="s">
        <v>302</v>
      </c>
      <c r="S185" s="844"/>
      <c r="T185" s="293"/>
      <c r="U185" s="294" t="s">
        <v>303</v>
      </c>
      <c r="V185" s="295"/>
    </row>
    <row r="186" spans="2:22" ht="17.45" customHeight="1">
      <c r="B186" s="830" t="s">
        <v>304</v>
      </c>
      <c r="C186" s="830"/>
      <c r="D186" s="831" t="s">
        <v>210</v>
      </c>
      <c r="E186" s="831"/>
      <c r="F186" s="831"/>
      <c r="G186" s="831"/>
      <c r="H186" s="831"/>
      <c r="I186" s="831"/>
      <c r="J186" s="830" t="s">
        <v>211</v>
      </c>
      <c r="K186" s="830"/>
      <c r="L186" s="830" t="s">
        <v>213</v>
      </c>
      <c r="M186" s="830"/>
      <c r="N186" s="830"/>
      <c r="O186" s="831" t="s">
        <v>305</v>
      </c>
      <c r="P186" s="831"/>
      <c r="Q186" s="831"/>
      <c r="R186" s="831"/>
      <c r="S186" s="831" t="s">
        <v>306</v>
      </c>
      <c r="T186" s="831"/>
      <c r="U186" s="831"/>
      <c r="V186" s="831"/>
    </row>
    <row r="187" spans="2:22" ht="17.45" customHeight="1">
      <c r="B187" s="338"/>
      <c r="C187" s="413">
        <v>5901</v>
      </c>
      <c r="D187" s="832" t="s">
        <v>385</v>
      </c>
      <c r="E187" s="832"/>
      <c r="F187" s="832"/>
      <c r="G187" s="832"/>
      <c r="H187" s="832"/>
      <c r="I187" s="832"/>
      <c r="J187" s="846" t="s">
        <v>372</v>
      </c>
      <c r="K187" s="846"/>
      <c r="L187" s="833">
        <v>1.6109E-3</v>
      </c>
      <c r="M187" s="833"/>
      <c r="N187" s="833"/>
      <c r="O187" s="834">
        <v>269.25</v>
      </c>
      <c r="P187" s="834"/>
      <c r="Q187" s="834"/>
      <c r="R187" s="834"/>
      <c r="S187" s="847">
        <f>L187*O187</f>
        <v>0.43373482499999999</v>
      </c>
      <c r="T187" s="847"/>
      <c r="U187" s="847"/>
      <c r="V187" s="847"/>
    </row>
    <row r="188" spans="2:22" ht="17.45" customHeight="1">
      <c r="B188" s="340"/>
      <c r="C188" s="412" t="s">
        <v>386</v>
      </c>
      <c r="D188" s="816" t="s">
        <v>385</v>
      </c>
      <c r="E188" s="816"/>
      <c r="F188" s="816"/>
      <c r="G188" s="816"/>
      <c r="H188" s="816"/>
      <c r="I188" s="816"/>
      <c r="J188" s="817" t="s">
        <v>379</v>
      </c>
      <c r="K188" s="817"/>
      <c r="L188" s="818">
        <v>1.0739E-3</v>
      </c>
      <c r="M188" s="818"/>
      <c r="N188" s="818"/>
      <c r="O188" s="819">
        <v>46.8</v>
      </c>
      <c r="P188" s="819"/>
      <c r="Q188" s="819"/>
      <c r="R188" s="819"/>
      <c r="S188" s="820">
        <f t="shared" ref="S188:S194" si="5">L188*O188</f>
        <v>5.0258520000000001E-2</v>
      </c>
      <c r="T188" s="814"/>
      <c r="U188" s="814"/>
      <c r="V188" s="815"/>
    </row>
    <row r="189" spans="2:22" ht="17.45" customHeight="1">
      <c r="B189" s="340"/>
      <c r="C189" s="412" t="s">
        <v>370</v>
      </c>
      <c r="D189" s="816" t="s">
        <v>371</v>
      </c>
      <c r="E189" s="816"/>
      <c r="F189" s="816"/>
      <c r="G189" s="816"/>
      <c r="H189" s="816"/>
      <c r="I189" s="816"/>
      <c r="J189" s="817" t="s">
        <v>372</v>
      </c>
      <c r="K189" s="817"/>
      <c r="L189" s="818">
        <v>1.8525E-3</v>
      </c>
      <c r="M189" s="818"/>
      <c r="N189" s="818"/>
      <c r="O189" s="819">
        <v>197.94</v>
      </c>
      <c r="P189" s="819"/>
      <c r="Q189" s="819"/>
      <c r="R189" s="819"/>
      <c r="S189" s="820">
        <f t="shared" si="5"/>
        <v>0.36668384999999998</v>
      </c>
      <c r="T189" s="814"/>
      <c r="U189" s="814"/>
      <c r="V189" s="815"/>
    </row>
    <row r="190" spans="2:22" ht="17.45" customHeight="1">
      <c r="B190" s="340"/>
      <c r="C190" s="412" t="s">
        <v>387</v>
      </c>
      <c r="D190" s="816" t="s">
        <v>371</v>
      </c>
      <c r="E190" s="816"/>
      <c r="F190" s="816"/>
      <c r="G190" s="816"/>
      <c r="H190" s="816"/>
      <c r="I190" s="816"/>
      <c r="J190" s="817" t="s">
        <v>379</v>
      </c>
      <c r="K190" s="817"/>
      <c r="L190" s="818">
        <v>8.3230000000000001E-4</v>
      </c>
      <c r="M190" s="818"/>
      <c r="N190" s="818"/>
      <c r="O190" s="819">
        <v>62.66</v>
      </c>
      <c r="P190" s="819"/>
      <c r="Q190" s="819"/>
      <c r="R190" s="819"/>
      <c r="S190" s="820">
        <f t="shared" si="5"/>
        <v>5.2151917999999998E-2</v>
      </c>
      <c r="T190" s="814"/>
      <c r="U190" s="814"/>
      <c r="V190" s="815"/>
    </row>
    <row r="191" spans="2:22" ht="17.45" customHeight="1">
      <c r="B191" s="340"/>
      <c r="C191" s="412">
        <v>7049</v>
      </c>
      <c r="D191" s="816" t="s">
        <v>388</v>
      </c>
      <c r="E191" s="816"/>
      <c r="F191" s="816"/>
      <c r="G191" s="816"/>
      <c r="H191" s="816"/>
      <c r="I191" s="816"/>
      <c r="J191" s="817" t="s">
        <v>372</v>
      </c>
      <c r="K191" s="817"/>
      <c r="L191" s="818">
        <v>0</v>
      </c>
      <c r="M191" s="818"/>
      <c r="N191" s="818"/>
      <c r="O191" s="819">
        <v>196.11</v>
      </c>
      <c r="P191" s="819"/>
      <c r="Q191" s="819"/>
      <c r="R191" s="819"/>
      <c r="S191" s="820">
        <f t="shared" si="5"/>
        <v>0</v>
      </c>
      <c r="T191" s="814"/>
      <c r="U191" s="814"/>
      <c r="V191" s="815"/>
    </row>
    <row r="192" spans="2:22" ht="17.45" customHeight="1">
      <c r="B192" s="340"/>
      <c r="C192" s="412" t="s">
        <v>312</v>
      </c>
      <c r="D192" s="816" t="s">
        <v>313</v>
      </c>
      <c r="E192" s="816"/>
      <c r="F192" s="816"/>
      <c r="G192" s="816"/>
      <c r="H192" s="816"/>
      <c r="I192" s="816"/>
      <c r="J192" s="817" t="s">
        <v>311</v>
      </c>
      <c r="K192" s="817"/>
      <c r="L192" s="818">
        <v>1.07396E-2</v>
      </c>
      <c r="M192" s="818"/>
      <c r="N192" s="818"/>
      <c r="O192" s="819">
        <v>16.829999999999998</v>
      </c>
      <c r="P192" s="819"/>
      <c r="Q192" s="819"/>
      <c r="R192" s="819"/>
      <c r="S192" s="820">
        <f t="shared" si="5"/>
        <v>0.18074746799999999</v>
      </c>
      <c r="T192" s="814"/>
      <c r="U192" s="814"/>
      <c r="V192" s="815"/>
    </row>
    <row r="193" spans="2:22" ht="17.45" customHeight="1">
      <c r="B193" s="340"/>
      <c r="C193" s="412">
        <v>96028</v>
      </c>
      <c r="D193" s="816" t="s">
        <v>389</v>
      </c>
      <c r="E193" s="816"/>
      <c r="F193" s="816"/>
      <c r="G193" s="816"/>
      <c r="H193" s="816"/>
      <c r="I193" s="816"/>
      <c r="J193" s="817" t="s">
        <v>372</v>
      </c>
      <c r="K193" s="817"/>
      <c r="L193" s="818">
        <v>1.3424000000000001E-3</v>
      </c>
      <c r="M193" s="818"/>
      <c r="N193" s="818"/>
      <c r="O193" s="819">
        <v>166.84</v>
      </c>
      <c r="P193" s="819"/>
      <c r="Q193" s="819"/>
      <c r="R193" s="819"/>
      <c r="S193" s="820">
        <f t="shared" si="5"/>
        <v>0.22396601600000002</v>
      </c>
      <c r="T193" s="814"/>
      <c r="U193" s="814"/>
      <c r="V193" s="815"/>
    </row>
    <row r="194" spans="2:22" ht="17.45" customHeight="1">
      <c r="B194" s="339"/>
      <c r="C194" s="411">
        <v>96029</v>
      </c>
      <c r="D194" s="821" t="s">
        <v>389</v>
      </c>
      <c r="E194" s="821"/>
      <c r="F194" s="821"/>
      <c r="G194" s="821"/>
      <c r="H194" s="821"/>
      <c r="I194" s="821"/>
      <c r="J194" s="822" t="s">
        <v>379</v>
      </c>
      <c r="K194" s="822"/>
      <c r="L194" s="823">
        <v>1.3424000000000001E-3</v>
      </c>
      <c r="M194" s="823"/>
      <c r="N194" s="823"/>
      <c r="O194" s="824">
        <v>34.61</v>
      </c>
      <c r="P194" s="824"/>
      <c r="Q194" s="824"/>
      <c r="R194" s="824"/>
      <c r="S194" s="837">
        <f t="shared" si="5"/>
        <v>4.6460464E-2</v>
      </c>
      <c r="T194" s="838"/>
      <c r="U194" s="838"/>
      <c r="V194" s="839"/>
    </row>
    <row r="195" spans="2:22" ht="17.45" customHeight="1">
      <c r="B195" s="825"/>
      <c r="C195" s="825"/>
      <c r="D195" s="825"/>
      <c r="E195" s="825"/>
      <c r="F195" s="825"/>
      <c r="G195" s="825"/>
      <c r="H195" s="825"/>
      <c r="I195" s="826" t="s">
        <v>322</v>
      </c>
      <c r="J195" s="826"/>
      <c r="K195" s="826"/>
      <c r="L195" s="826"/>
      <c r="M195" s="826"/>
      <c r="N195" s="826"/>
      <c r="O195" s="826"/>
      <c r="P195" s="826"/>
      <c r="Q195" s="826"/>
      <c r="R195" s="826"/>
      <c r="S195" s="827">
        <f>SUM(S187:V194)</f>
        <v>1.354003061</v>
      </c>
      <c r="T195" s="827"/>
      <c r="U195" s="827"/>
      <c r="V195" s="827"/>
    </row>
    <row r="196" spans="2:22" ht="17.45" customHeight="1">
      <c r="B196" s="828"/>
      <c r="C196" s="828"/>
      <c r="D196" s="828"/>
      <c r="E196" s="828"/>
      <c r="F196" s="828"/>
      <c r="G196" s="828"/>
      <c r="H196" s="828"/>
      <c r="I196" s="828"/>
      <c r="J196" s="828"/>
      <c r="K196" s="828"/>
      <c r="L196" s="828"/>
      <c r="M196" s="828"/>
      <c r="N196" s="828"/>
      <c r="O196" s="828"/>
      <c r="P196" s="828"/>
      <c r="Q196" s="828"/>
      <c r="R196" s="828"/>
      <c r="S196" s="828"/>
      <c r="T196" s="828"/>
      <c r="U196" s="828"/>
      <c r="V196" s="828"/>
    </row>
    <row r="197" spans="2:22" ht="17.45" customHeight="1">
      <c r="B197" s="812"/>
      <c r="C197" s="812"/>
      <c r="D197" s="812"/>
      <c r="E197" s="812"/>
      <c r="F197" s="812"/>
      <c r="G197" s="812"/>
      <c r="H197" s="812"/>
      <c r="I197" s="813" t="s">
        <v>323</v>
      </c>
      <c r="J197" s="813"/>
      <c r="K197" s="813"/>
      <c r="L197" s="813"/>
      <c r="M197" s="813"/>
      <c r="N197" s="813"/>
      <c r="O197" s="813"/>
      <c r="P197" s="813"/>
      <c r="Q197" s="813"/>
      <c r="R197" s="813"/>
      <c r="S197" s="814">
        <f>S195</f>
        <v>1.354003061</v>
      </c>
      <c r="T197" s="814"/>
      <c r="U197" s="814"/>
      <c r="V197" s="815"/>
    </row>
    <row r="198" spans="2:22" ht="17.45" customHeight="1">
      <c r="B198" s="812"/>
      <c r="C198" s="812"/>
      <c r="D198" s="812"/>
      <c r="E198" s="812"/>
      <c r="F198" s="812"/>
      <c r="G198" s="812"/>
      <c r="H198" s="813" t="s">
        <v>324</v>
      </c>
      <c r="I198" s="813"/>
      <c r="J198" s="813"/>
      <c r="K198" s="813"/>
      <c r="L198" s="813"/>
      <c r="M198" s="829">
        <v>20.7</v>
      </c>
      <c r="N198" s="829"/>
      <c r="O198" s="829"/>
      <c r="P198" s="813" t="s">
        <v>325</v>
      </c>
      <c r="Q198" s="813"/>
      <c r="R198" s="813"/>
      <c r="S198" s="814">
        <f>TRUNC(S197*M198%,2)</f>
        <v>0.28000000000000003</v>
      </c>
      <c r="T198" s="814"/>
      <c r="U198" s="814"/>
      <c r="V198" s="815"/>
    </row>
    <row r="199" spans="2:22" ht="17.45" customHeight="1">
      <c r="B199" s="812"/>
      <c r="C199" s="812"/>
      <c r="D199" s="812"/>
      <c r="E199" s="812"/>
      <c r="F199" s="812"/>
      <c r="G199" s="812"/>
      <c r="H199" s="812"/>
      <c r="I199" s="813" t="s">
        <v>326</v>
      </c>
      <c r="J199" s="813"/>
      <c r="K199" s="813"/>
      <c r="L199" s="813"/>
      <c r="M199" s="813"/>
      <c r="N199" s="813"/>
      <c r="O199" s="813"/>
      <c r="P199" s="813"/>
      <c r="Q199" s="813"/>
      <c r="R199" s="813"/>
      <c r="S199" s="814">
        <f>S197+S198</f>
        <v>1.634003061</v>
      </c>
      <c r="T199" s="814"/>
      <c r="U199" s="814"/>
      <c r="V199" s="815"/>
    </row>
    <row r="200" spans="2:22" ht="144.94999999999999" customHeight="1">
      <c r="B200" s="296"/>
      <c r="V200" s="299"/>
    </row>
    <row r="201" spans="2:22" ht="144.94999999999999" customHeight="1">
      <c r="B201" s="296"/>
      <c r="V201" s="299"/>
    </row>
    <row r="202" spans="2:22" ht="141" customHeight="1">
      <c r="B202" s="296"/>
      <c r="V202" s="299"/>
    </row>
    <row r="203" spans="2:22" ht="17.45" customHeight="1">
      <c r="B203" s="292"/>
      <c r="C203" s="293"/>
      <c r="D203" s="300"/>
      <c r="E203" s="300"/>
      <c r="F203" s="300"/>
      <c r="G203" s="300"/>
      <c r="H203" s="300"/>
      <c r="I203" s="300"/>
      <c r="J203" s="300"/>
      <c r="K203" s="293"/>
      <c r="L203" s="293"/>
      <c r="M203" s="293"/>
      <c r="N203" s="293"/>
      <c r="O203" s="293"/>
      <c r="P203" s="293"/>
      <c r="Q203" s="293"/>
      <c r="R203" s="293"/>
      <c r="S203" s="293"/>
      <c r="T203" s="293"/>
      <c r="U203" s="293"/>
      <c r="V203" s="295"/>
    </row>
    <row r="204" spans="2:22" ht="17.45" customHeight="1">
      <c r="B204" s="410"/>
      <c r="C204" s="840" t="s">
        <v>297</v>
      </c>
      <c r="D204" s="840"/>
      <c r="E204" s="840"/>
      <c r="F204" s="286"/>
      <c r="G204" s="835" t="s">
        <v>462</v>
      </c>
      <c r="H204" s="835"/>
      <c r="I204" s="835"/>
      <c r="J204" s="835"/>
      <c r="K204" s="835"/>
      <c r="L204" s="835"/>
      <c r="M204" s="287"/>
      <c r="N204" s="836" t="s">
        <v>473</v>
      </c>
      <c r="O204" s="836"/>
      <c r="P204" s="836"/>
      <c r="Q204" s="836"/>
      <c r="R204" s="836"/>
      <c r="S204" s="836"/>
      <c r="T204" s="836"/>
      <c r="U204" s="836"/>
      <c r="V204" s="288"/>
    </row>
    <row r="205" spans="2:22" ht="17.45" customHeight="1">
      <c r="B205" s="289"/>
      <c r="C205" s="840" t="s">
        <v>298</v>
      </c>
      <c r="D205" s="840"/>
      <c r="E205" s="841" t="s">
        <v>390</v>
      </c>
      <c r="F205" s="841"/>
      <c r="G205" s="841"/>
      <c r="H205" s="841"/>
      <c r="I205" s="841"/>
      <c r="J205" s="841"/>
      <c r="K205" s="842" t="s">
        <v>299</v>
      </c>
      <c r="L205" s="842"/>
      <c r="M205" s="290"/>
      <c r="N205" s="843" t="s">
        <v>391</v>
      </c>
      <c r="O205" s="843"/>
      <c r="P205" s="843"/>
      <c r="Q205" s="290"/>
      <c r="R205" s="290"/>
      <c r="S205" s="290"/>
      <c r="T205" s="290"/>
      <c r="U205" s="290"/>
      <c r="V205" s="291"/>
    </row>
    <row r="206" spans="2:22" ht="17.45" customHeight="1">
      <c r="B206" s="292"/>
      <c r="C206" s="840"/>
      <c r="D206" s="840"/>
      <c r="E206" s="841"/>
      <c r="F206" s="841"/>
      <c r="G206" s="841"/>
      <c r="H206" s="841"/>
      <c r="I206" s="841"/>
      <c r="J206" s="841"/>
      <c r="K206" s="844" t="s">
        <v>301</v>
      </c>
      <c r="L206" s="844"/>
      <c r="M206" s="293"/>
      <c r="N206" s="845">
        <v>1</v>
      </c>
      <c r="O206" s="845"/>
      <c r="P206" s="845"/>
      <c r="Q206" s="293"/>
      <c r="R206" s="844" t="s">
        <v>302</v>
      </c>
      <c r="S206" s="844"/>
      <c r="T206" s="293"/>
      <c r="U206" s="294" t="s">
        <v>309</v>
      </c>
      <c r="V206" s="295"/>
    </row>
    <row r="207" spans="2:22" ht="17.45" customHeight="1">
      <c r="B207" s="830" t="s">
        <v>304</v>
      </c>
      <c r="C207" s="830"/>
      <c r="D207" s="831" t="s">
        <v>210</v>
      </c>
      <c r="E207" s="831"/>
      <c r="F207" s="831"/>
      <c r="G207" s="831"/>
      <c r="H207" s="831"/>
      <c r="I207" s="831"/>
      <c r="J207" s="830" t="s">
        <v>211</v>
      </c>
      <c r="K207" s="830"/>
      <c r="L207" s="830" t="s">
        <v>213</v>
      </c>
      <c r="M207" s="830"/>
      <c r="N207" s="830"/>
      <c r="O207" s="831" t="s">
        <v>305</v>
      </c>
      <c r="P207" s="831"/>
      <c r="Q207" s="831"/>
      <c r="R207" s="831"/>
      <c r="S207" s="831" t="s">
        <v>306</v>
      </c>
      <c r="T207" s="831"/>
      <c r="U207" s="831"/>
      <c r="V207" s="831"/>
    </row>
    <row r="208" spans="2:22" ht="17.45" customHeight="1">
      <c r="B208" s="338"/>
      <c r="C208" s="413" t="s">
        <v>384</v>
      </c>
      <c r="D208" s="832" t="s">
        <v>385</v>
      </c>
      <c r="E208" s="832"/>
      <c r="F208" s="832"/>
      <c r="G208" s="832"/>
      <c r="H208" s="832"/>
      <c r="I208" s="832"/>
      <c r="J208" s="846" t="s">
        <v>372</v>
      </c>
      <c r="K208" s="846"/>
      <c r="L208" s="833">
        <v>6.4000000000000003E-3</v>
      </c>
      <c r="M208" s="833"/>
      <c r="N208" s="833"/>
      <c r="O208" s="834">
        <v>269.25</v>
      </c>
      <c r="P208" s="834"/>
      <c r="Q208" s="834"/>
      <c r="R208" s="834"/>
      <c r="S208" s="847">
        <f>L208*O208</f>
        <v>1.7232000000000001</v>
      </c>
      <c r="T208" s="847"/>
      <c r="U208" s="847"/>
      <c r="V208" s="847"/>
    </row>
    <row r="209" spans="2:22" ht="17.45" customHeight="1">
      <c r="B209" s="340"/>
      <c r="C209" s="412" t="s">
        <v>386</v>
      </c>
      <c r="D209" s="816" t="s">
        <v>385</v>
      </c>
      <c r="E209" s="816"/>
      <c r="F209" s="816"/>
      <c r="G209" s="816"/>
      <c r="H209" s="816"/>
      <c r="I209" s="816"/>
      <c r="J209" s="817" t="s">
        <v>379</v>
      </c>
      <c r="K209" s="817"/>
      <c r="L209" s="818">
        <v>9.4999999999999998E-3</v>
      </c>
      <c r="M209" s="818"/>
      <c r="N209" s="818"/>
      <c r="O209" s="819">
        <v>46.8</v>
      </c>
      <c r="P209" s="819"/>
      <c r="Q209" s="819"/>
      <c r="R209" s="819"/>
      <c r="S209" s="820">
        <f t="shared" ref="S209:S220" si="6">L209*O209</f>
        <v>0.44459999999999994</v>
      </c>
      <c r="T209" s="814"/>
      <c r="U209" s="814"/>
      <c r="V209" s="815"/>
    </row>
    <row r="210" spans="2:22" ht="17.45" customHeight="1">
      <c r="B210" s="340"/>
      <c r="C210" s="412">
        <v>5921</v>
      </c>
      <c r="D210" s="816" t="s">
        <v>392</v>
      </c>
      <c r="E210" s="816"/>
      <c r="F210" s="816"/>
      <c r="G210" s="816"/>
      <c r="H210" s="816"/>
      <c r="I210" s="816"/>
      <c r="J210" s="817" t="s">
        <v>372</v>
      </c>
      <c r="K210" s="817"/>
      <c r="L210" s="818">
        <v>2.7000000000000001E-3</v>
      </c>
      <c r="M210" s="818"/>
      <c r="N210" s="818"/>
      <c r="O210" s="819">
        <v>5.83</v>
      </c>
      <c r="P210" s="819"/>
      <c r="Q210" s="819"/>
      <c r="R210" s="819"/>
      <c r="S210" s="820">
        <f t="shared" si="6"/>
        <v>1.5741000000000002E-2</v>
      </c>
      <c r="T210" s="814"/>
      <c r="U210" s="814"/>
      <c r="V210" s="815"/>
    </row>
    <row r="211" spans="2:22" ht="17.45" customHeight="1">
      <c r="B211" s="340"/>
      <c r="C211" s="412" t="s">
        <v>393</v>
      </c>
      <c r="D211" s="816" t="s">
        <v>392</v>
      </c>
      <c r="E211" s="816"/>
      <c r="F211" s="816"/>
      <c r="G211" s="816"/>
      <c r="H211" s="816"/>
      <c r="I211" s="816"/>
      <c r="J211" s="817" t="s">
        <v>379</v>
      </c>
      <c r="K211" s="817"/>
      <c r="L211" s="818">
        <v>1.3299999999999999E-2</v>
      </c>
      <c r="M211" s="818"/>
      <c r="N211" s="818"/>
      <c r="O211" s="819">
        <v>3.62</v>
      </c>
      <c r="P211" s="819"/>
      <c r="Q211" s="819"/>
      <c r="R211" s="819"/>
      <c r="S211" s="820">
        <f t="shared" si="6"/>
        <v>4.8146000000000001E-2</v>
      </c>
      <c r="T211" s="814"/>
      <c r="U211" s="814"/>
      <c r="V211" s="815"/>
    </row>
    <row r="212" spans="2:22" ht="17.45" customHeight="1">
      <c r="B212" s="340"/>
      <c r="C212" s="412" t="s">
        <v>370</v>
      </c>
      <c r="D212" s="816" t="s">
        <v>371</v>
      </c>
      <c r="E212" s="816"/>
      <c r="F212" s="816"/>
      <c r="G212" s="816"/>
      <c r="H212" s="816"/>
      <c r="I212" s="816"/>
      <c r="J212" s="817" t="s">
        <v>372</v>
      </c>
      <c r="K212" s="817"/>
      <c r="L212" s="818">
        <v>7.7000000000000002E-3</v>
      </c>
      <c r="M212" s="818"/>
      <c r="N212" s="818"/>
      <c r="O212" s="819">
        <v>197.94</v>
      </c>
      <c r="P212" s="819"/>
      <c r="Q212" s="819"/>
      <c r="R212" s="819"/>
      <c r="S212" s="820">
        <f t="shared" si="6"/>
        <v>1.524138</v>
      </c>
      <c r="T212" s="814"/>
      <c r="U212" s="814"/>
      <c r="V212" s="815"/>
    </row>
    <row r="213" spans="2:22" ht="17.45" customHeight="1">
      <c r="B213" s="340"/>
      <c r="C213" s="412" t="s">
        <v>387</v>
      </c>
      <c r="D213" s="816" t="s">
        <v>371</v>
      </c>
      <c r="E213" s="816"/>
      <c r="F213" s="816"/>
      <c r="G213" s="816"/>
      <c r="H213" s="816"/>
      <c r="I213" s="816"/>
      <c r="J213" s="817" t="s">
        <v>379</v>
      </c>
      <c r="K213" s="817"/>
      <c r="L213" s="818">
        <v>8.3000000000000001E-3</v>
      </c>
      <c r="M213" s="818"/>
      <c r="N213" s="818"/>
      <c r="O213" s="819">
        <v>62.66</v>
      </c>
      <c r="P213" s="819"/>
      <c r="Q213" s="819"/>
      <c r="R213" s="819"/>
      <c r="S213" s="820">
        <f t="shared" si="6"/>
        <v>0.52007799999999993</v>
      </c>
      <c r="T213" s="814"/>
      <c r="U213" s="814"/>
      <c r="V213" s="815"/>
    </row>
    <row r="214" spans="2:22" ht="17.45" customHeight="1">
      <c r="B214" s="340"/>
      <c r="C214" s="412" t="s">
        <v>394</v>
      </c>
      <c r="D214" s="816" t="s">
        <v>395</v>
      </c>
      <c r="E214" s="816"/>
      <c r="F214" s="816"/>
      <c r="G214" s="816"/>
      <c r="H214" s="816"/>
      <c r="I214" s="816"/>
      <c r="J214" s="817" t="s">
        <v>372</v>
      </c>
      <c r="K214" s="817"/>
      <c r="L214" s="818">
        <v>7.4000000000000003E-3</v>
      </c>
      <c r="M214" s="818"/>
      <c r="N214" s="818"/>
      <c r="O214" s="819">
        <v>173.8</v>
      </c>
      <c r="P214" s="819"/>
      <c r="Q214" s="819"/>
      <c r="R214" s="819"/>
      <c r="S214" s="820">
        <f t="shared" si="6"/>
        <v>1.2861200000000002</v>
      </c>
      <c r="T214" s="814"/>
      <c r="U214" s="814"/>
      <c r="V214" s="815"/>
    </row>
    <row r="215" spans="2:22" ht="17.45" customHeight="1">
      <c r="B215" s="340"/>
      <c r="C215" s="412" t="s">
        <v>312</v>
      </c>
      <c r="D215" s="816" t="s">
        <v>313</v>
      </c>
      <c r="E215" s="816"/>
      <c r="F215" s="816"/>
      <c r="G215" s="816"/>
      <c r="H215" s="816"/>
      <c r="I215" s="816"/>
      <c r="J215" s="817" t="s">
        <v>311</v>
      </c>
      <c r="K215" s="817"/>
      <c r="L215" s="818">
        <v>5.5800000000000002E-2</v>
      </c>
      <c r="M215" s="818"/>
      <c r="N215" s="818"/>
      <c r="O215" s="819">
        <v>16.829999999999998</v>
      </c>
      <c r="P215" s="819"/>
      <c r="Q215" s="819"/>
      <c r="R215" s="819"/>
      <c r="S215" s="820">
        <f t="shared" si="6"/>
        <v>0.93911399999999989</v>
      </c>
      <c r="T215" s="814"/>
      <c r="U215" s="814"/>
      <c r="V215" s="815"/>
    </row>
    <row r="216" spans="2:22" ht="17.45" customHeight="1">
      <c r="B216" s="340"/>
      <c r="C216" s="412" t="s">
        <v>396</v>
      </c>
      <c r="D216" s="816" t="s">
        <v>397</v>
      </c>
      <c r="E216" s="816"/>
      <c r="F216" s="816"/>
      <c r="G216" s="816"/>
      <c r="H216" s="816"/>
      <c r="I216" s="816"/>
      <c r="J216" s="817" t="s">
        <v>372</v>
      </c>
      <c r="K216" s="817"/>
      <c r="L216" s="818">
        <v>2.7000000000000001E-3</v>
      </c>
      <c r="M216" s="818"/>
      <c r="N216" s="818"/>
      <c r="O216" s="819">
        <v>107.33</v>
      </c>
      <c r="P216" s="819"/>
      <c r="Q216" s="819"/>
      <c r="R216" s="819"/>
      <c r="S216" s="820">
        <f t="shared" si="6"/>
        <v>0.28979100000000002</v>
      </c>
      <c r="T216" s="814"/>
      <c r="U216" s="814"/>
      <c r="V216" s="815"/>
    </row>
    <row r="217" spans="2:22" ht="17.45" customHeight="1">
      <c r="B217" s="340"/>
      <c r="C217" s="412" t="s">
        <v>398</v>
      </c>
      <c r="D217" s="816" t="s">
        <v>397</v>
      </c>
      <c r="E217" s="816"/>
      <c r="F217" s="816"/>
      <c r="G217" s="816"/>
      <c r="H217" s="816"/>
      <c r="I217" s="816"/>
      <c r="J217" s="817" t="s">
        <v>379</v>
      </c>
      <c r="K217" s="817"/>
      <c r="L217" s="818">
        <v>1.3299999999999999E-2</v>
      </c>
      <c r="M217" s="818"/>
      <c r="N217" s="818"/>
      <c r="O217" s="819">
        <v>29.82</v>
      </c>
      <c r="P217" s="819"/>
      <c r="Q217" s="819"/>
      <c r="R217" s="819"/>
      <c r="S217" s="820">
        <f t="shared" si="6"/>
        <v>0.39660599999999996</v>
      </c>
      <c r="T217" s="814"/>
      <c r="U217" s="814"/>
      <c r="V217" s="815"/>
    </row>
    <row r="218" spans="2:22" ht="17.45" customHeight="1">
      <c r="B218" s="340"/>
      <c r="C218" s="412">
        <v>93244</v>
      </c>
      <c r="D218" s="816" t="s">
        <v>395</v>
      </c>
      <c r="E218" s="816"/>
      <c r="F218" s="816"/>
      <c r="G218" s="816"/>
      <c r="H218" s="816"/>
      <c r="I218" s="816"/>
      <c r="J218" s="817" t="s">
        <v>379</v>
      </c>
      <c r="K218" s="817"/>
      <c r="L218" s="818">
        <v>8.6E-3</v>
      </c>
      <c r="M218" s="818"/>
      <c r="N218" s="818"/>
      <c r="O218" s="819">
        <v>49.89</v>
      </c>
      <c r="P218" s="819"/>
      <c r="Q218" s="819"/>
      <c r="R218" s="819"/>
      <c r="S218" s="820">
        <f t="shared" si="6"/>
        <v>0.42905399999999999</v>
      </c>
      <c r="T218" s="814"/>
      <c r="U218" s="814"/>
      <c r="V218" s="815"/>
    </row>
    <row r="219" spans="2:22" ht="17.45" customHeight="1">
      <c r="B219" s="340"/>
      <c r="C219" s="412" t="s">
        <v>400</v>
      </c>
      <c r="D219" s="816" t="s">
        <v>401</v>
      </c>
      <c r="E219" s="816"/>
      <c r="F219" s="816"/>
      <c r="G219" s="816"/>
      <c r="H219" s="816"/>
      <c r="I219" s="816"/>
      <c r="J219" s="817" t="s">
        <v>372</v>
      </c>
      <c r="K219" s="817"/>
      <c r="L219" s="818">
        <v>1E-3</v>
      </c>
      <c r="M219" s="818"/>
      <c r="N219" s="818"/>
      <c r="O219" s="819">
        <v>190.44</v>
      </c>
      <c r="P219" s="819"/>
      <c r="Q219" s="819"/>
      <c r="R219" s="819"/>
      <c r="S219" s="820">
        <f t="shared" si="6"/>
        <v>0.19044</v>
      </c>
      <c r="T219" s="814"/>
      <c r="U219" s="814"/>
      <c r="V219" s="815"/>
    </row>
    <row r="220" spans="2:22" ht="17.45" customHeight="1">
      <c r="B220" s="339"/>
      <c r="C220" s="411" t="s">
        <v>402</v>
      </c>
      <c r="D220" s="821" t="s">
        <v>401</v>
      </c>
      <c r="E220" s="821"/>
      <c r="F220" s="821"/>
      <c r="G220" s="821"/>
      <c r="H220" s="821"/>
      <c r="I220" s="821"/>
      <c r="J220" s="822" t="s">
        <v>379</v>
      </c>
      <c r="K220" s="822"/>
      <c r="L220" s="823">
        <v>1.4999999999999999E-2</v>
      </c>
      <c r="M220" s="823"/>
      <c r="N220" s="823"/>
      <c r="O220" s="824">
        <v>70.06</v>
      </c>
      <c r="P220" s="824"/>
      <c r="Q220" s="824"/>
      <c r="R220" s="824"/>
      <c r="S220" s="837">
        <f t="shared" si="6"/>
        <v>1.0508999999999999</v>
      </c>
      <c r="T220" s="838"/>
      <c r="U220" s="838"/>
      <c r="V220" s="839"/>
    </row>
    <row r="221" spans="2:22" ht="17.45" customHeight="1">
      <c r="B221" s="825"/>
      <c r="C221" s="825"/>
      <c r="D221" s="825"/>
      <c r="E221" s="825"/>
      <c r="F221" s="825"/>
      <c r="G221" s="825"/>
      <c r="H221" s="825"/>
      <c r="I221" s="826" t="s">
        <v>322</v>
      </c>
      <c r="J221" s="826"/>
      <c r="K221" s="826"/>
      <c r="L221" s="826"/>
      <c r="M221" s="826"/>
      <c r="N221" s="826"/>
      <c r="O221" s="826"/>
      <c r="P221" s="826"/>
      <c r="Q221" s="826"/>
      <c r="R221" s="826"/>
      <c r="S221" s="827">
        <f>SUM(S208:V220)</f>
        <v>8.8579279999999994</v>
      </c>
      <c r="T221" s="827"/>
      <c r="U221" s="827"/>
      <c r="V221" s="827"/>
    </row>
    <row r="222" spans="2:22" ht="17.45" customHeight="1">
      <c r="B222" s="828"/>
      <c r="C222" s="828"/>
      <c r="D222" s="828"/>
      <c r="E222" s="828"/>
      <c r="F222" s="828"/>
      <c r="G222" s="828"/>
      <c r="H222" s="828"/>
      <c r="I222" s="828"/>
      <c r="J222" s="828"/>
      <c r="K222" s="828"/>
      <c r="L222" s="828"/>
      <c r="M222" s="828"/>
      <c r="N222" s="828"/>
      <c r="O222" s="828"/>
      <c r="P222" s="828"/>
      <c r="Q222" s="828"/>
      <c r="R222" s="828"/>
      <c r="S222" s="828"/>
      <c r="T222" s="828"/>
      <c r="U222" s="828"/>
      <c r="V222" s="828"/>
    </row>
    <row r="223" spans="2:22" ht="17.45" customHeight="1">
      <c r="B223" s="812"/>
      <c r="C223" s="812"/>
      <c r="D223" s="812"/>
      <c r="E223" s="812"/>
      <c r="F223" s="812"/>
      <c r="G223" s="812"/>
      <c r="H223" s="812"/>
      <c r="I223" s="813" t="s">
        <v>323</v>
      </c>
      <c r="J223" s="813"/>
      <c r="K223" s="813"/>
      <c r="L223" s="813"/>
      <c r="M223" s="813"/>
      <c r="N223" s="813"/>
      <c r="O223" s="813"/>
      <c r="P223" s="813"/>
      <c r="Q223" s="813"/>
      <c r="R223" s="813"/>
      <c r="S223" s="814">
        <f>S221</f>
        <v>8.8579279999999994</v>
      </c>
      <c r="T223" s="814"/>
      <c r="U223" s="814"/>
      <c r="V223" s="815"/>
    </row>
    <row r="224" spans="2:22" ht="17.45" customHeight="1">
      <c r="B224" s="812"/>
      <c r="C224" s="812"/>
      <c r="D224" s="812"/>
      <c r="E224" s="812"/>
      <c r="F224" s="812"/>
      <c r="G224" s="812"/>
      <c r="H224" s="813" t="s">
        <v>324</v>
      </c>
      <c r="I224" s="813"/>
      <c r="J224" s="813"/>
      <c r="K224" s="813"/>
      <c r="L224" s="813"/>
      <c r="M224" s="829">
        <v>20.7</v>
      </c>
      <c r="N224" s="829"/>
      <c r="O224" s="829"/>
      <c r="P224" s="813" t="s">
        <v>325</v>
      </c>
      <c r="Q224" s="813"/>
      <c r="R224" s="813"/>
      <c r="S224" s="814">
        <f>TRUNC(S223*M224%,2)</f>
        <v>1.83</v>
      </c>
      <c r="T224" s="814"/>
      <c r="U224" s="814"/>
      <c r="V224" s="815"/>
    </row>
    <row r="225" spans="2:22" ht="17.45" customHeight="1">
      <c r="B225" s="812"/>
      <c r="C225" s="812"/>
      <c r="D225" s="812"/>
      <c r="E225" s="812"/>
      <c r="F225" s="812"/>
      <c r="G225" s="812"/>
      <c r="H225" s="812"/>
      <c r="I225" s="813" t="s">
        <v>326</v>
      </c>
      <c r="J225" s="813"/>
      <c r="K225" s="813"/>
      <c r="L225" s="813"/>
      <c r="M225" s="813"/>
      <c r="N225" s="813"/>
      <c r="O225" s="813"/>
      <c r="P225" s="813"/>
      <c r="Q225" s="813"/>
      <c r="R225" s="813"/>
      <c r="S225" s="814">
        <f>S223+S224</f>
        <v>10.687927999999999</v>
      </c>
      <c r="T225" s="814"/>
      <c r="U225" s="814"/>
      <c r="V225" s="815"/>
    </row>
    <row r="226" spans="2:22" ht="64.5" customHeight="1">
      <c r="B226" s="296"/>
      <c r="V226" s="299"/>
    </row>
    <row r="227" spans="2:22" ht="143.25" customHeight="1">
      <c r="B227" s="296"/>
      <c r="V227" s="299"/>
    </row>
    <row r="228" spans="2:22" ht="144.94999999999999" customHeight="1">
      <c r="B228" s="292"/>
      <c r="C228" s="293"/>
      <c r="D228" s="300"/>
      <c r="E228" s="300"/>
      <c r="F228" s="300"/>
      <c r="G228" s="300"/>
      <c r="H228" s="300"/>
      <c r="I228" s="300"/>
      <c r="J228" s="300"/>
      <c r="K228" s="293"/>
      <c r="L228" s="293"/>
      <c r="M228" s="293"/>
      <c r="N228" s="293"/>
      <c r="O228" s="293"/>
      <c r="P228" s="293"/>
      <c r="Q228" s="293"/>
      <c r="R228" s="293"/>
      <c r="S228" s="293"/>
      <c r="T228" s="293"/>
      <c r="U228" s="293"/>
      <c r="V228" s="295"/>
    </row>
    <row r="229" spans="2:22" ht="17.45" customHeight="1">
      <c r="B229" s="410"/>
      <c r="C229" s="840" t="s">
        <v>297</v>
      </c>
      <c r="D229" s="840"/>
      <c r="E229" s="840"/>
      <c r="F229" s="286"/>
      <c r="G229" s="835" t="s">
        <v>462</v>
      </c>
      <c r="H229" s="835"/>
      <c r="I229" s="835"/>
      <c r="J229" s="835"/>
      <c r="K229" s="835"/>
      <c r="L229" s="835"/>
      <c r="M229" s="287"/>
      <c r="N229" s="836" t="s">
        <v>473</v>
      </c>
      <c r="O229" s="836"/>
      <c r="P229" s="836"/>
      <c r="Q229" s="836"/>
      <c r="R229" s="836"/>
      <c r="S229" s="836"/>
      <c r="T229" s="836"/>
      <c r="U229" s="836"/>
      <c r="V229" s="288"/>
    </row>
    <row r="230" spans="2:22" ht="17.45" customHeight="1">
      <c r="B230" s="289"/>
      <c r="C230" s="840" t="s">
        <v>298</v>
      </c>
      <c r="D230" s="840"/>
      <c r="E230" s="841" t="s">
        <v>454</v>
      </c>
      <c r="F230" s="841"/>
      <c r="G230" s="841"/>
      <c r="H230" s="841"/>
      <c r="I230" s="841"/>
      <c r="J230" s="841"/>
      <c r="K230" s="842" t="s">
        <v>299</v>
      </c>
      <c r="L230" s="842"/>
      <c r="M230" s="290"/>
      <c r="N230" s="843" t="s">
        <v>453</v>
      </c>
      <c r="O230" s="843"/>
      <c r="P230" s="843"/>
      <c r="Q230" s="290"/>
      <c r="R230" s="290"/>
      <c r="S230" s="290"/>
      <c r="T230" s="290"/>
      <c r="U230" s="290"/>
      <c r="V230" s="291"/>
    </row>
    <row r="231" spans="2:22" ht="17.45" customHeight="1">
      <c r="B231" s="292"/>
      <c r="C231" s="840"/>
      <c r="D231" s="840"/>
      <c r="E231" s="841"/>
      <c r="F231" s="841"/>
      <c r="G231" s="841"/>
      <c r="H231" s="841"/>
      <c r="I231" s="841"/>
      <c r="J231" s="841"/>
      <c r="K231" s="844" t="s">
        <v>301</v>
      </c>
      <c r="L231" s="844"/>
      <c r="M231" s="293"/>
      <c r="N231" s="845">
        <v>1</v>
      </c>
      <c r="O231" s="845"/>
      <c r="P231" s="845"/>
      <c r="Q231" s="293"/>
      <c r="R231" s="844" t="s">
        <v>302</v>
      </c>
      <c r="S231" s="844"/>
      <c r="T231" s="293"/>
      <c r="U231" s="294" t="s">
        <v>309</v>
      </c>
      <c r="V231" s="295"/>
    </row>
    <row r="232" spans="2:22" ht="17.45" customHeight="1">
      <c r="B232" s="830" t="s">
        <v>304</v>
      </c>
      <c r="C232" s="830"/>
      <c r="D232" s="831" t="s">
        <v>210</v>
      </c>
      <c r="E232" s="831"/>
      <c r="F232" s="831"/>
      <c r="G232" s="831"/>
      <c r="H232" s="831"/>
      <c r="I232" s="831"/>
      <c r="J232" s="830" t="s">
        <v>211</v>
      </c>
      <c r="K232" s="830"/>
      <c r="L232" s="830" t="s">
        <v>213</v>
      </c>
      <c r="M232" s="830"/>
      <c r="N232" s="830"/>
      <c r="O232" s="831" t="s">
        <v>305</v>
      </c>
      <c r="P232" s="831"/>
      <c r="Q232" s="831"/>
      <c r="R232" s="831"/>
      <c r="S232" s="831" t="s">
        <v>306</v>
      </c>
      <c r="T232" s="831"/>
      <c r="U232" s="831"/>
      <c r="V232" s="831"/>
    </row>
    <row r="233" spans="2:22" ht="17.45" customHeight="1">
      <c r="B233" s="338"/>
      <c r="C233" s="413" t="s">
        <v>384</v>
      </c>
      <c r="D233" s="832" t="s">
        <v>385</v>
      </c>
      <c r="E233" s="832"/>
      <c r="F233" s="832"/>
      <c r="G233" s="832"/>
      <c r="H233" s="832"/>
      <c r="I233" s="832"/>
      <c r="J233" s="846" t="s">
        <v>372</v>
      </c>
      <c r="K233" s="846"/>
      <c r="L233" s="833">
        <v>6.4000000000000003E-3</v>
      </c>
      <c r="M233" s="833"/>
      <c r="N233" s="833"/>
      <c r="O233" s="834">
        <v>269.25</v>
      </c>
      <c r="P233" s="834"/>
      <c r="Q233" s="834"/>
      <c r="R233" s="834"/>
      <c r="S233" s="847">
        <f>L233*O233</f>
        <v>1.7232000000000001</v>
      </c>
      <c r="T233" s="847"/>
      <c r="U233" s="847"/>
      <c r="V233" s="847"/>
    </row>
    <row r="234" spans="2:22" ht="17.45" customHeight="1">
      <c r="B234" s="340"/>
      <c r="C234" s="412" t="s">
        <v>386</v>
      </c>
      <c r="D234" s="816" t="s">
        <v>385</v>
      </c>
      <c r="E234" s="816"/>
      <c r="F234" s="816"/>
      <c r="G234" s="816"/>
      <c r="H234" s="816"/>
      <c r="I234" s="816"/>
      <c r="J234" s="817" t="s">
        <v>379</v>
      </c>
      <c r="K234" s="817"/>
      <c r="L234" s="818">
        <v>9.4999999999999998E-3</v>
      </c>
      <c r="M234" s="818"/>
      <c r="N234" s="818"/>
      <c r="O234" s="819">
        <v>46.8</v>
      </c>
      <c r="P234" s="819"/>
      <c r="Q234" s="819"/>
      <c r="R234" s="819"/>
      <c r="S234" s="820">
        <f t="shared" ref="S234:S245" si="7">L234*O234</f>
        <v>0.44459999999999994</v>
      </c>
      <c r="T234" s="814"/>
      <c r="U234" s="814"/>
      <c r="V234" s="815"/>
    </row>
    <row r="235" spans="2:22" ht="17.45" customHeight="1">
      <c r="B235" s="340"/>
      <c r="C235" s="412">
        <v>5921</v>
      </c>
      <c r="D235" s="816" t="s">
        <v>392</v>
      </c>
      <c r="E235" s="816"/>
      <c r="F235" s="816"/>
      <c r="G235" s="816"/>
      <c r="H235" s="816"/>
      <c r="I235" s="816"/>
      <c r="J235" s="817" t="s">
        <v>372</v>
      </c>
      <c r="K235" s="817"/>
      <c r="L235" s="818">
        <v>2.7000000000000001E-3</v>
      </c>
      <c r="M235" s="818"/>
      <c r="N235" s="818"/>
      <c r="O235" s="819">
        <v>5.83</v>
      </c>
      <c r="P235" s="819"/>
      <c r="Q235" s="819"/>
      <c r="R235" s="819"/>
      <c r="S235" s="820">
        <f t="shared" si="7"/>
        <v>1.5741000000000002E-2</v>
      </c>
      <c r="T235" s="814"/>
      <c r="U235" s="814"/>
      <c r="V235" s="815"/>
    </row>
    <row r="236" spans="2:22" ht="17.45" customHeight="1">
      <c r="B236" s="340"/>
      <c r="C236" s="412" t="s">
        <v>393</v>
      </c>
      <c r="D236" s="816" t="s">
        <v>392</v>
      </c>
      <c r="E236" s="816"/>
      <c r="F236" s="816"/>
      <c r="G236" s="816"/>
      <c r="H236" s="816"/>
      <c r="I236" s="816"/>
      <c r="J236" s="817" t="s">
        <v>379</v>
      </c>
      <c r="K236" s="817"/>
      <c r="L236" s="818">
        <v>1.3299999999999999E-2</v>
      </c>
      <c r="M236" s="818"/>
      <c r="N236" s="818"/>
      <c r="O236" s="819">
        <v>3.62</v>
      </c>
      <c r="P236" s="819"/>
      <c r="Q236" s="819"/>
      <c r="R236" s="819"/>
      <c r="S236" s="820">
        <f t="shared" si="7"/>
        <v>4.8146000000000001E-2</v>
      </c>
      <c r="T236" s="814"/>
      <c r="U236" s="814"/>
      <c r="V236" s="815"/>
    </row>
    <row r="237" spans="2:22" ht="17.45" customHeight="1">
      <c r="B237" s="340"/>
      <c r="C237" s="412" t="s">
        <v>370</v>
      </c>
      <c r="D237" s="816" t="s">
        <v>371</v>
      </c>
      <c r="E237" s="816"/>
      <c r="F237" s="816"/>
      <c r="G237" s="816"/>
      <c r="H237" s="816"/>
      <c r="I237" s="816"/>
      <c r="J237" s="817" t="s">
        <v>372</v>
      </c>
      <c r="K237" s="817"/>
      <c r="L237" s="818">
        <v>7.7000000000000002E-3</v>
      </c>
      <c r="M237" s="818"/>
      <c r="N237" s="818"/>
      <c r="O237" s="819">
        <v>197.94</v>
      </c>
      <c r="P237" s="819"/>
      <c r="Q237" s="819"/>
      <c r="R237" s="819"/>
      <c r="S237" s="820">
        <f t="shared" si="7"/>
        <v>1.524138</v>
      </c>
      <c r="T237" s="814"/>
      <c r="U237" s="814"/>
      <c r="V237" s="815"/>
    </row>
    <row r="238" spans="2:22" ht="17.45" customHeight="1">
      <c r="B238" s="340"/>
      <c r="C238" s="412" t="s">
        <v>387</v>
      </c>
      <c r="D238" s="816" t="s">
        <v>371</v>
      </c>
      <c r="E238" s="816"/>
      <c r="F238" s="816"/>
      <c r="G238" s="816"/>
      <c r="H238" s="816"/>
      <c r="I238" s="816"/>
      <c r="J238" s="817" t="s">
        <v>379</v>
      </c>
      <c r="K238" s="817"/>
      <c r="L238" s="818">
        <v>8.3000000000000001E-3</v>
      </c>
      <c r="M238" s="818"/>
      <c r="N238" s="818"/>
      <c r="O238" s="819">
        <v>62.66</v>
      </c>
      <c r="P238" s="819"/>
      <c r="Q238" s="819"/>
      <c r="R238" s="819"/>
      <c r="S238" s="820">
        <f t="shared" si="7"/>
        <v>0.52007799999999993</v>
      </c>
      <c r="T238" s="814"/>
      <c r="U238" s="814"/>
      <c r="V238" s="815"/>
    </row>
    <row r="239" spans="2:22" ht="17.45" customHeight="1">
      <c r="B239" s="340"/>
      <c r="C239" s="412" t="s">
        <v>394</v>
      </c>
      <c r="D239" s="816" t="s">
        <v>395</v>
      </c>
      <c r="E239" s="816"/>
      <c r="F239" s="816"/>
      <c r="G239" s="816"/>
      <c r="H239" s="816"/>
      <c r="I239" s="816"/>
      <c r="J239" s="817" t="s">
        <v>372</v>
      </c>
      <c r="K239" s="817"/>
      <c r="L239" s="818">
        <v>7.4000000000000003E-3</v>
      </c>
      <c r="M239" s="818"/>
      <c r="N239" s="818"/>
      <c r="O239" s="819">
        <v>173.8</v>
      </c>
      <c r="P239" s="819"/>
      <c r="Q239" s="819"/>
      <c r="R239" s="819"/>
      <c r="S239" s="820">
        <f t="shared" si="7"/>
        <v>1.2861200000000002</v>
      </c>
      <c r="T239" s="814"/>
      <c r="U239" s="814"/>
      <c r="V239" s="815"/>
    </row>
    <row r="240" spans="2:22" ht="17.45" customHeight="1">
      <c r="B240" s="340"/>
      <c r="C240" s="412" t="s">
        <v>312</v>
      </c>
      <c r="D240" s="816" t="s">
        <v>313</v>
      </c>
      <c r="E240" s="816"/>
      <c r="F240" s="816"/>
      <c r="G240" s="816"/>
      <c r="H240" s="816"/>
      <c r="I240" s="816"/>
      <c r="J240" s="817" t="s">
        <v>311</v>
      </c>
      <c r="K240" s="817"/>
      <c r="L240" s="818">
        <v>5.5800000000000002E-2</v>
      </c>
      <c r="M240" s="818"/>
      <c r="N240" s="818"/>
      <c r="O240" s="819">
        <v>16.829999999999998</v>
      </c>
      <c r="P240" s="819"/>
      <c r="Q240" s="819"/>
      <c r="R240" s="819"/>
      <c r="S240" s="820">
        <f t="shared" si="7"/>
        <v>0.93911399999999989</v>
      </c>
      <c r="T240" s="814"/>
      <c r="U240" s="814"/>
      <c r="V240" s="815"/>
    </row>
    <row r="241" spans="2:22" ht="17.45" customHeight="1">
      <c r="B241" s="340"/>
      <c r="C241" s="412" t="s">
        <v>396</v>
      </c>
      <c r="D241" s="816" t="s">
        <v>397</v>
      </c>
      <c r="E241" s="816"/>
      <c r="F241" s="816"/>
      <c r="G241" s="816"/>
      <c r="H241" s="816"/>
      <c r="I241" s="816"/>
      <c r="J241" s="817" t="s">
        <v>372</v>
      </c>
      <c r="K241" s="817"/>
      <c r="L241" s="818">
        <v>2.7000000000000001E-3</v>
      </c>
      <c r="M241" s="818"/>
      <c r="N241" s="818"/>
      <c r="O241" s="819">
        <v>107.33</v>
      </c>
      <c r="P241" s="819"/>
      <c r="Q241" s="819"/>
      <c r="R241" s="819"/>
      <c r="S241" s="820">
        <f t="shared" si="7"/>
        <v>0.28979100000000002</v>
      </c>
      <c r="T241" s="814"/>
      <c r="U241" s="814"/>
      <c r="V241" s="815"/>
    </row>
    <row r="242" spans="2:22" ht="17.45" customHeight="1">
      <c r="B242" s="340"/>
      <c r="C242" s="412" t="s">
        <v>398</v>
      </c>
      <c r="D242" s="816" t="s">
        <v>397</v>
      </c>
      <c r="E242" s="816"/>
      <c r="F242" s="816"/>
      <c r="G242" s="816"/>
      <c r="H242" s="816"/>
      <c r="I242" s="816"/>
      <c r="J242" s="817" t="s">
        <v>379</v>
      </c>
      <c r="K242" s="817"/>
      <c r="L242" s="818">
        <v>1.3299999999999999E-2</v>
      </c>
      <c r="M242" s="818"/>
      <c r="N242" s="818"/>
      <c r="O242" s="819">
        <v>29.82</v>
      </c>
      <c r="P242" s="819"/>
      <c r="Q242" s="819"/>
      <c r="R242" s="819"/>
      <c r="S242" s="820">
        <f t="shared" si="7"/>
        <v>0.39660599999999996</v>
      </c>
      <c r="T242" s="814"/>
      <c r="U242" s="814"/>
      <c r="V242" s="815"/>
    </row>
    <row r="243" spans="2:22" ht="17.45" customHeight="1">
      <c r="B243" s="340"/>
      <c r="C243" s="412" t="s">
        <v>399</v>
      </c>
      <c r="D243" s="816" t="s">
        <v>395</v>
      </c>
      <c r="E243" s="816"/>
      <c r="F243" s="816"/>
      <c r="G243" s="816"/>
      <c r="H243" s="816"/>
      <c r="I243" s="816"/>
      <c r="J243" s="817" t="s">
        <v>379</v>
      </c>
      <c r="K243" s="817"/>
      <c r="L243" s="818">
        <v>8.6E-3</v>
      </c>
      <c r="M243" s="818"/>
      <c r="N243" s="818"/>
      <c r="O243" s="819">
        <v>49.89</v>
      </c>
      <c r="P243" s="819"/>
      <c r="Q243" s="819"/>
      <c r="R243" s="819"/>
      <c r="S243" s="820">
        <f t="shared" si="7"/>
        <v>0.42905399999999999</v>
      </c>
      <c r="T243" s="814"/>
      <c r="U243" s="814"/>
      <c r="V243" s="815"/>
    </row>
    <row r="244" spans="2:22" ht="17.45" customHeight="1">
      <c r="B244" s="340"/>
      <c r="C244" s="412" t="s">
        <v>400</v>
      </c>
      <c r="D244" s="816" t="s">
        <v>401</v>
      </c>
      <c r="E244" s="816"/>
      <c r="F244" s="816"/>
      <c r="G244" s="816"/>
      <c r="H244" s="816"/>
      <c r="I244" s="816"/>
      <c r="J244" s="817" t="s">
        <v>372</v>
      </c>
      <c r="K244" s="817"/>
      <c r="L244" s="818">
        <v>1E-3</v>
      </c>
      <c r="M244" s="818"/>
      <c r="N244" s="818"/>
      <c r="O244" s="819">
        <v>190.44</v>
      </c>
      <c r="P244" s="819"/>
      <c r="Q244" s="819"/>
      <c r="R244" s="819"/>
      <c r="S244" s="820">
        <f t="shared" si="7"/>
        <v>0.19044</v>
      </c>
      <c r="T244" s="814"/>
      <c r="U244" s="814"/>
      <c r="V244" s="815"/>
    </row>
    <row r="245" spans="2:22" ht="17.45" customHeight="1">
      <c r="B245" s="339"/>
      <c r="C245" s="411" t="s">
        <v>402</v>
      </c>
      <c r="D245" s="821" t="s">
        <v>401</v>
      </c>
      <c r="E245" s="821"/>
      <c r="F245" s="821"/>
      <c r="G245" s="821"/>
      <c r="H245" s="821"/>
      <c r="I245" s="821"/>
      <c r="J245" s="822" t="s">
        <v>379</v>
      </c>
      <c r="K245" s="822"/>
      <c r="L245" s="823">
        <v>1.4999999999999999E-2</v>
      </c>
      <c r="M245" s="823"/>
      <c r="N245" s="823"/>
      <c r="O245" s="824">
        <v>70.06</v>
      </c>
      <c r="P245" s="824"/>
      <c r="Q245" s="824"/>
      <c r="R245" s="824"/>
      <c r="S245" s="837">
        <f t="shared" si="7"/>
        <v>1.0508999999999999</v>
      </c>
      <c r="T245" s="838"/>
      <c r="U245" s="838"/>
      <c r="V245" s="839"/>
    </row>
    <row r="246" spans="2:22" ht="17.45" customHeight="1">
      <c r="B246" s="825"/>
      <c r="C246" s="825"/>
      <c r="D246" s="825"/>
      <c r="E246" s="825"/>
      <c r="F246" s="825"/>
      <c r="G246" s="825"/>
      <c r="H246" s="825"/>
      <c r="I246" s="826" t="s">
        <v>322</v>
      </c>
      <c r="J246" s="826"/>
      <c r="K246" s="826"/>
      <c r="L246" s="826"/>
      <c r="M246" s="826"/>
      <c r="N246" s="826"/>
      <c r="O246" s="826"/>
      <c r="P246" s="826"/>
      <c r="Q246" s="826"/>
      <c r="R246" s="826"/>
      <c r="S246" s="827">
        <f>SUM(S233:V245)</f>
        <v>8.8579279999999994</v>
      </c>
      <c r="T246" s="827"/>
      <c r="U246" s="827"/>
      <c r="V246" s="827"/>
    </row>
    <row r="247" spans="2:22" ht="17.45" customHeight="1">
      <c r="B247" s="828"/>
      <c r="C247" s="828"/>
      <c r="D247" s="828"/>
      <c r="E247" s="828"/>
      <c r="F247" s="828"/>
      <c r="G247" s="828"/>
      <c r="H247" s="828"/>
      <c r="I247" s="828"/>
      <c r="J247" s="828"/>
      <c r="K247" s="828"/>
      <c r="L247" s="828"/>
      <c r="M247" s="828"/>
      <c r="N247" s="828"/>
      <c r="O247" s="828"/>
      <c r="P247" s="828"/>
      <c r="Q247" s="828"/>
      <c r="R247" s="828"/>
      <c r="S247" s="828"/>
      <c r="T247" s="828"/>
      <c r="U247" s="828"/>
      <c r="V247" s="828"/>
    </row>
    <row r="248" spans="2:22" ht="17.45" customHeight="1">
      <c r="B248" s="812"/>
      <c r="C248" s="812"/>
      <c r="D248" s="812"/>
      <c r="E248" s="812"/>
      <c r="F248" s="812"/>
      <c r="G248" s="812"/>
      <c r="H248" s="812"/>
      <c r="I248" s="813" t="s">
        <v>323</v>
      </c>
      <c r="J248" s="813"/>
      <c r="K248" s="813"/>
      <c r="L248" s="813"/>
      <c r="M248" s="813"/>
      <c r="N248" s="813"/>
      <c r="O248" s="813"/>
      <c r="P248" s="813"/>
      <c r="Q248" s="813"/>
      <c r="R248" s="813"/>
      <c r="S248" s="814">
        <f>S246</f>
        <v>8.8579279999999994</v>
      </c>
      <c r="T248" s="814"/>
      <c r="U248" s="814"/>
      <c r="V248" s="815"/>
    </row>
    <row r="249" spans="2:22" ht="17.45" customHeight="1">
      <c r="B249" s="812"/>
      <c r="C249" s="812"/>
      <c r="D249" s="812"/>
      <c r="E249" s="812"/>
      <c r="F249" s="812"/>
      <c r="G249" s="812"/>
      <c r="H249" s="813" t="s">
        <v>324</v>
      </c>
      <c r="I249" s="813"/>
      <c r="J249" s="813"/>
      <c r="K249" s="813"/>
      <c r="L249" s="813"/>
      <c r="M249" s="829">
        <v>20.7</v>
      </c>
      <c r="N249" s="829"/>
      <c r="O249" s="829"/>
      <c r="P249" s="813" t="s">
        <v>325</v>
      </c>
      <c r="Q249" s="813"/>
      <c r="R249" s="813"/>
      <c r="S249" s="814">
        <f>TRUNC(S248*M249%,2)</f>
        <v>1.83</v>
      </c>
      <c r="T249" s="814"/>
      <c r="U249" s="814"/>
      <c r="V249" s="815"/>
    </row>
    <row r="250" spans="2:22" ht="17.45" customHeight="1">
      <c r="B250" s="812"/>
      <c r="C250" s="812"/>
      <c r="D250" s="812"/>
      <c r="E250" s="812"/>
      <c r="F250" s="812"/>
      <c r="G250" s="812"/>
      <c r="H250" s="812"/>
      <c r="I250" s="813" t="s">
        <v>326</v>
      </c>
      <c r="J250" s="813"/>
      <c r="K250" s="813"/>
      <c r="L250" s="813"/>
      <c r="M250" s="813"/>
      <c r="N250" s="813"/>
      <c r="O250" s="813"/>
      <c r="P250" s="813"/>
      <c r="Q250" s="813"/>
      <c r="R250" s="813"/>
      <c r="S250" s="814">
        <f>S248+S249</f>
        <v>10.687927999999999</v>
      </c>
      <c r="T250" s="814"/>
      <c r="U250" s="814"/>
      <c r="V250" s="815"/>
    </row>
    <row r="251" spans="2:22" ht="144.94999999999999" customHeight="1">
      <c r="B251" s="296"/>
      <c r="V251" s="299"/>
    </row>
    <row r="252" spans="2:22" ht="57.75" customHeight="1">
      <c r="B252" s="296"/>
      <c r="V252" s="299"/>
    </row>
    <row r="253" spans="2:22" ht="144.94999999999999" customHeight="1">
      <c r="B253" s="292"/>
      <c r="C253" s="293"/>
      <c r="D253" s="300"/>
      <c r="E253" s="300"/>
      <c r="F253" s="300"/>
      <c r="G253" s="300"/>
      <c r="H253" s="300"/>
      <c r="I253" s="300"/>
      <c r="J253" s="300"/>
      <c r="K253" s="293"/>
      <c r="L253" s="293"/>
      <c r="M253" s="293"/>
      <c r="N253" s="293"/>
      <c r="O253" s="293"/>
      <c r="P253" s="293"/>
      <c r="Q253" s="293"/>
      <c r="R253" s="293"/>
      <c r="S253" s="293"/>
      <c r="T253" s="293"/>
      <c r="U253" s="293"/>
      <c r="V253" s="295"/>
    </row>
    <row r="254" spans="2:22" ht="17.45" customHeight="1">
      <c r="B254" s="410"/>
      <c r="C254" s="840" t="s">
        <v>297</v>
      </c>
      <c r="D254" s="840"/>
      <c r="E254" s="840"/>
      <c r="F254" s="286"/>
      <c r="G254" s="835" t="s">
        <v>462</v>
      </c>
      <c r="H254" s="835"/>
      <c r="I254" s="835"/>
      <c r="J254" s="835"/>
      <c r="K254" s="835"/>
      <c r="L254" s="835"/>
      <c r="M254" s="287"/>
      <c r="N254" s="836" t="s">
        <v>473</v>
      </c>
      <c r="O254" s="836"/>
      <c r="P254" s="836"/>
      <c r="Q254" s="836"/>
      <c r="R254" s="836"/>
      <c r="S254" s="836"/>
      <c r="T254" s="836"/>
      <c r="U254" s="836"/>
      <c r="V254" s="288"/>
    </row>
    <row r="255" spans="2:22" ht="17.45" customHeight="1">
      <c r="B255" s="289"/>
      <c r="C255" s="853" t="s">
        <v>298</v>
      </c>
      <c r="D255" s="853"/>
      <c r="E255" s="855" t="s">
        <v>403</v>
      </c>
      <c r="F255" s="855"/>
      <c r="G255" s="855"/>
      <c r="H255" s="855"/>
      <c r="I255" s="855"/>
      <c r="J255" s="855"/>
      <c r="K255" s="842" t="s">
        <v>299</v>
      </c>
      <c r="L255" s="842"/>
      <c r="M255" s="290"/>
      <c r="N255" s="843" t="s">
        <v>404</v>
      </c>
      <c r="O255" s="843"/>
      <c r="P255" s="843"/>
      <c r="Q255" s="290"/>
      <c r="R255" s="290"/>
      <c r="S255" s="290"/>
      <c r="T255" s="290"/>
      <c r="U255" s="290"/>
      <c r="V255" s="291"/>
    </row>
    <row r="256" spans="2:22" ht="17.45" customHeight="1">
      <c r="B256" s="292"/>
      <c r="C256" s="854"/>
      <c r="D256" s="854"/>
      <c r="E256" s="856"/>
      <c r="F256" s="856"/>
      <c r="G256" s="856"/>
      <c r="H256" s="856"/>
      <c r="I256" s="856"/>
      <c r="J256" s="856"/>
      <c r="K256" s="844" t="s">
        <v>301</v>
      </c>
      <c r="L256" s="844"/>
      <c r="M256" s="293"/>
      <c r="N256" s="845">
        <v>1</v>
      </c>
      <c r="O256" s="845"/>
      <c r="P256" s="845"/>
      <c r="Q256" s="293"/>
      <c r="R256" s="844" t="s">
        <v>302</v>
      </c>
      <c r="S256" s="844"/>
      <c r="T256" s="293"/>
      <c r="U256" s="294" t="s">
        <v>303</v>
      </c>
      <c r="V256" s="295"/>
    </row>
    <row r="257" spans="2:22" ht="17.45" customHeight="1">
      <c r="B257" s="830" t="s">
        <v>304</v>
      </c>
      <c r="C257" s="830"/>
      <c r="D257" s="831" t="s">
        <v>210</v>
      </c>
      <c r="E257" s="831"/>
      <c r="F257" s="831"/>
      <c r="G257" s="831"/>
      <c r="H257" s="831"/>
      <c r="I257" s="831"/>
      <c r="J257" s="830" t="s">
        <v>211</v>
      </c>
      <c r="K257" s="830"/>
      <c r="L257" s="830" t="s">
        <v>213</v>
      </c>
      <c r="M257" s="830"/>
      <c r="N257" s="830"/>
      <c r="O257" s="831" t="s">
        <v>305</v>
      </c>
      <c r="P257" s="831"/>
      <c r="Q257" s="831"/>
      <c r="R257" s="831"/>
      <c r="S257" s="831" t="s">
        <v>306</v>
      </c>
      <c r="T257" s="831"/>
      <c r="U257" s="831"/>
      <c r="V257" s="831"/>
    </row>
    <row r="258" spans="2:22" ht="17.45" customHeight="1">
      <c r="B258" s="338"/>
      <c r="C258" s="413" t="s">
        <v>405</v>
      </c>
      <c r="D258" s="832" t="s">
        <v>406</v>
      </c>
      <c r="E258" s="832"/>
      <c r="F258" s="832"/>
      <c r="G258" s="832"/>
      <c r="H258" s="832"/>
      <c r="I258" s="832"/>
      <c r="J258" s="846" t="s">
        <v>372</v>
      </c>
      <c r="K258" s="846"/>
      <c r="L258" s="833">
        <v>2E-3</v>
      </c>
      <c r="M258" s="833"/>
      <c r="N258" s="833"/>
      <c r="O258" s="834">
        <v>11.18</v>
      </c>
      <c r="P258" s="834"/>
      <c r="Q258" s="834"/>
      <c r="R258" s="834"/>
      <c r="S258" s="847">
        <f>L258*O258</f>
        <v>2.2360000000000001E-2</v>
      </c>
      <c r="T258" s="847"/>
      <c r="U258" s="847"/>
      <c r="V258" s="847"/>
    </row>
    <row r="259" spans="2:22" ht="17.45" customHeight="1">
      <c r="B259" s="340"/>
      <c r="C259" s="412" t="s">
        <v>407</v>
      </c>
      <c r="D259" s="816" t="s">
        <v>406</v>
      </c>
      <c r="E259" s="816"/>
      <c r="F259" s="816"/>
      <c r="G259" s="816"/>
      <c r="H259" s="816"/>
      <c r="I259" s="816"/>
      <c r="J259" s="817" t="s">
        <v>379</v>
      </c>
      <c r="K259" s="817"/>
      <c r="L259" s="818">
        <v>4.1000000000000003E-3</v>
      </c>
      <c r="M259" s="818"/>
      <c r="N259" s="818"/>
      <c r="O259" s="819">
        <v>5.32</v>
      </c>
      <c r="P259" s="819"/>
      <c r="Q259" s="819"/>
      <c r="R259" s="819"/>
      <c r="S259" s="820">
        <f t="shared" ref="S259:S265" si="8">L259*O259</f>
        <v>2.1812000000000002E-2</v>
      </c>
      <c r="T259" s="814"/>
      <c r="U259" s="814"/>
      <c r="V259" s="815"/>
    </row>
    <row r="260" spans="2:22" ht="17.45" customHeight="1">
      <c r="B260" s="340"/>
      <c r="C260" s="412" t="s">
        <v>312</v>
      </c>
      <c r="D260" s="816" t="s">
        <v>313</v>
      </c>
      <c r="E260" s="816"/>
      <c r="F260" s="816"/>
      <c r="G260" s="816"/>
      <c r="H260" s="816"/>
      <c r="I260" s="816"/>
      <c r="J260" s="817" t="s">
        <v>311</v>
      </c>
      <c r="K260" s="817"/>
      <c r="L260" s="818">
        <v>5.7999999999999996E-3</v>
      </c>
      <c r="M260" s="818"/>
      <c r="N260" s="818"/>
      <c r="O260" s="819">
        <v>16.829999999999998</v>
      </c>
      <c r="P260" s="819"/>
      <c r="Q260" s="819"/>
      <c r="R260" s="819"/>
      <c r="S260" s="820">
        <f t="shared" si="8"/>
        <v>9.7613999999999979E-2</v>
      </c>
      <c r="T260" s="814"/>
      <c r="U260" s="814"/>
      <c r="V260" s="815"/>
    </row>
    <row r="261" spans="2:22" ht="17.45" customHeight="1">
      <c r="B261" s="340"/>
      <c r="C261" s="412">
        <v>83362</v>
      </c>
      <c r="D261" s="816" t="s">
        <v>409</v>
      </c>
      <c r="E261" s="816"/>
      <c r="F261" s="816"/>
      <c r="G261" s="816"/>
      <c r="H261" s="816"/>
      <c r="I261" s="816"/>
      <c r="J261" s="817" t="s">
        <v>372</v>
      </c>
      <c r="K261" s="817"/>
      <c r="L261" s="818">
        <v>1E-3</v>
      </c>
      <c r="M261" s="818"/>
      <c r="N261" s="818"/>
      <c r="O261" s="819">
        <v>228.97</v>
      </c>
      <c r="P261" s="819"/>
      <c r="Q261" s="819"/>
      <c r="R261" s="819"/>
      <c r="S261" s="820">
        <f t="shared" si="8"/>
        <v>0.22897000000000001</v>
      </c>
      <c r="T261" s="814"/>
      <c r="U261" s="814"/>
      <c r="V261" s="815"/>
    </row>
    <row r="262" spans="2:22" ht="17.45" customHeight="1">
      <c r="B262" s="340"/>
      <c r="C262" s="412" t="s">
        <v>396</v>
      </c>
      <c r="D262" s="816" t="s">
        <v>397</v>
      </c>
      <c r="E262" s="816"/>
      <c r="F262" s="816"/>
      <c r="G262" s="816"/>
      <c r="H262" s="816"/>
      <c r="I262" s="816"/>
      <c r="J262" s="817" t="s">
        <v>372</v>
      </c>
      <c r="K262" s="817"/>
      <c r="L262" s="818">
        <v>1.6999999999999999E-3</v>
      </c>
      <c r="M262" s="818"/>
      <c r="N262" s="818"/>
      <c r="O262" s="819">
        <v>107.33</v>
      </c>
      <c r="P262" s="819"/>
      <c r="Q262" s="819"/>
      <c r="R262" s="819"/>
      <c r="S262" s="820">
        <f t="shared" si="8"/>
        <v>0.18246099999999998</v>
      </c>
      <c r="T262" s="814"/>
      <c r="U262" s="814"/>
      <c r="V262" s="815"/>
    </row>
    <row r="263" spans="2:22" ht="17.45" customHeight="1">
      <c r="B263" s="340"/>
      <c r="C263" s="412" t="s">
        <v>398</v>
      </c>
      <c r="D263" s="816" t="s">
        <v>397</v>
      </c>
      <c r="E263" s="816"/>
      <c r="F263" s="816"/>
      <c r="G263" s="816"/>
      <c r="H263" s="816"/>
      <c r="I263" s="816"/>
      <c r="J263" s="817" t="s">
        <v>379</v>
      </c>
      <c r="K263" s="817"/>
      <c r="L263" s="818">
        <v>4.1000000000000003E-3</v>
      </c>
      <c r="M263" s="818"/>
      <c r="N263" s="818"/>
      <c r="O263" s="819">
        <v>29.82</v>
      </c>
      <c r="P263" s="819"/>
      <c r="Q263" s="819"/>
      <c r="R263" s="819"/>
      <c r="S263" s="820">
        <f t="shared" si="8"/>
        <v>0.12226200000000001</v>
      </c>
      <c r="T263" s="814"/>
      <c r="U263" s="814"/>
      <c r="V263" s="815"/>
    </row>
    <row r="264" spans="2:22" ht="17.45" customHeight="1">
      <c r="B264" s="340"/>
      <c r="C264" s="412" t="s">
        <v>410</v>
      </c>
      <c r="D264" s="816" t="s">
        <v>409</v>
      </c>
      <c r="E264" s="816"/>
      <c r="F264" s="816"/>
      <c r="G264" s="816"/>
      <c r="H264" s="816"/>
      <c r="I264" s="816"/>
      <c r="J264" s="817" t="s">
        <v>379</v>
      </c>
      <c r="K264" s="817"/>
      <c r="L264" s="818">
        <v>4.8999999999999998E-3</v>
      </c>
      <c r="M264" s="818"/>
      <c r="N264" s="818"/>
      <c r="O264" s="819">
        <v>45.76</v>
      </c>
      <c r="P264" s="819"/>
      <c r="Q264" s="819"/>
      <c r="R264" s="819"/>
      <c r="S264" s="820">
        <f t="shared" si="8"/>
        <v>0.22422399999999998</v>
      </c>
      <c r="T264" s="814"/>
      <c r="U264" s="814"/>
      <c r="V264" s="815"/>
    </row>
    <row r="265" spans="2:22" ht="17.45" customHeight="1">
      <c r="B265" s="339"/>
      <c r="C265" s="411" t="s">
        <v>411</v>
      </c>
      <c r="D265" s="821" t="s">
        <v>412</v>
      </c>
      <c r="E265" s="821"/>
      <c r="F265" s="821"/>
      <c r="G265" s="821"/>
      <c r="H265" s="821"/>
      <c r="I265" s="821"/>
      <c r="J265" s="822" t="s">
        <v>321</v>
      </c>
      <c r="K265" s="822"/>
      <c r="L265" s="823">
        <v>1.2</v>
      </c>
      <c r="M265" s="823"/>
      <c r="N265" s="823"/>
      <c r="O265" s="824">
        <v>6.53</v>
      </c>
      <c r="P265" s="824"/>
      <c r="Q265" s="824"/>
      <c r="R265" s="824"/>
      <c r="S265" s="837">
        <f t="shared" si="8"/>
        <v>7.8360000000000003</v>
      </c>
      <c r="T265" s="838"/>
      <c r="U265" s="838"/>
      <c r="V265" s="839"/>
    </row>
    <row r="266" spans="2:22" ht="17.45" customHeight="1">
      <c r="B266" s="825"/>
      <c r="C266" s="825"/>
      <c r="D266" s="825"/>
      <c r="E266" s="825"/>
      <c r="F266" s="825"/>
      <c r="G266" s="825"/>
      <c r="H266" s="825"/>
      <c r="I266" s="826" t="s">
        <v>322</v>
      </c>
      <c r="J266" s="826"/>
      <c r="K266" s="826"/>
      <c r="L266" s="826"/>
      <c r="M266" s="826"/>
      <c r="N266" s="826"/>
      <c r="O266" s="826"/>
      <c r="P266" s="826"/>
      <c r="Q266" s="826"/>
      <c r="R266" s="826"/>
      <c r="S266" s="827">
        <f>SUM(S258:V265)</f>
        <v>8.7357030000000009</v>
      </c>
      <c r="T266" s="827"/>
      <c r="U266" s="827"/>
      <c r="V266" s="827"/>
    </row>
    <row r="267" spans="2:22" ht="17.45" customHeight="1">
      <c r="B267" s="828"/>
      <c r="C267" s="828"/>
      <c r="D267" s="828"/>
      <c r="E267" s="828"/>
      <c r="F267" s="828"/>
      <c r="G267" s="828"/>
      <c r="H267" s="828"/>
      <c r="I267" s="828"/>
      <c r="J267" s="828"/>
      <c r="K267" s="828"/>
      <c r="L267" s="828"/>
      <c r="M267" s="828"/>
      <c r="N267" s="828"/>
      <c r="O267" s="828"/>
      <c r="P267" s="828"/>
      <c r="Q267" s="828"/>
      <c r="R267" s="828"/>
      <c r="S267" s="828"/>
      <c r="T267" s="828"/>
      <c r="U267" s="828"/>
      <c r="V267" s="828"/>
    </row>
    <row r="268" spans="2:22" ht="17.45" customHeight="1">
      <c r="B268" s="812"/>
      <c r="C268" s="812"/>
      <c r="D268" s="812"/>
      <c r="E268" s="812"/>
      <c r="F268" s="812"/>
      <c r="G268" s="812"/>
      <c r="H268" s="812"/>
      <c r="I268" s="813" t="s">
        <v>323</v>
      </c>
      <c r="J268" s="813"/>
      <c r="K268" s="813"/>
      <c r="L268" s="813"/>
      <c r="M268" s="813"/>
      <c r="N268" s="813"/>
      <c r="O268" s="813"/>
      <c r="P268" s="813"/>
      <c r="Q268" s="813"/>
      <c r="R268" s="813"/>
      <c r="S268" s="814">
        <f>S266</f>
        <v>8.7357030000000009</v>
      </c>
      <c r="T268" s="814"/>
      <c r="U268" s="814"/>
      <c r="V268" s="815"/>
    </row>
    <row r="269" spans="2:22" ht="17.45" customHeight="1">
      <c r="B269" s="812"/>
      <c r="C269" s="812"/>
      <c r="D269" s="812"/>
      <c r="E269" s="812"/>
      <c r="F269" s="812"/>
      <c r="G269" s="812"/>
      <c r="H269" s="813" t="s">
        <v>324</v>
      </c>
      <c r="I269" s="813"/>
      <c r="J269" s="813"/>
      <c r="K269" s="813"/>
      <c r="L269" s="813"/>
      <c r="M269" s="829">
        <v>20.7</v>
      </c>
      <c r="N269" s="829"/>
      <c r="O269" s="829"/>
      <c r="P269" s="813" t="s">
        <v>325</v>
      </c>
      <c r="Q269" s="813"/>
      <c r="R269" s="813"/>
      <c r="S269" s="814">
        <f>TRUNC(S268*M269%,2)</f>
        <v>1.8</v>
      </c>
      <c r="T269" s="814"/>
      <c r="U269" s="814"/>
      <c r="V269" s="815"/>
    </row>
    <row r="270" spans="2:22" ht="17.45" customHeight="1">
      <c r="B270" s="812"/>
      <c r="C270" s="812"/>
      <c r="D270" s="812"/>
      <c r="E270" s="812"/>
      <c r="F270" s="812"/>
      <c r="G270" s="812"/>
      <c r="H270" s="812"/>
      <c r="I270" s="813" t="s">
        <v>326</v>
      </c>
      <c r="J270" s="813"/>
      <c r="K270" s="813"/>
      <c r="L270" s="813"/>
      <c r="M270" s="813"/>
      <c r="N270" s="813"/>
      <c r="O270" s="813"/>
      <c r="P270" s="813"/>
      <c r="Q270" s="813"/>
      <c r="R270" s="813"/>
      <c r="S270" s="814">
        <f>S268+S269</f>
        <v>10.535703000000002</v>
      </c>
      <c r="T270" s="814"/>
      <c r="U270" s="814"/>
      <c r="V270" s="815"/>
    </row>
    <row r="271" spans="2:22" ht="144.94999999999999" customHeight="1">
      <c r="B271" s="296"/>
      <c r="V271" s="299"/>
    </row>
    <row r="272" spans="2:22" ht="144.94999999999999" customHeight="1">
      <c r="B272" s="296"/>
      <c r="V272" s="299"/>
    </row>
    <row r="273" spans="2:22" ht="138.75" customHeight="1">
      <c r="B273" s="296"/>
      <c r="V273" s="299"/>
    </row>
    <row r="274" spans="2:22" ht="17.45" customHeight="1">
      <c r="B274" s="292"/>
      <c r="C274" s="293"/>
      <c r="D274" s="300"/>
      <c r="E274" s="300"/>
      <c r="F274" s="300"/>
      <c r="G274" s="300"/>
      <c r="H274" s="300"/>
      <c r="I274" s="300"/>
      <c r="J274" s="300"/>
      <c r="K274" s="293"/>
      <c r="L274" s="293"/>
      <c r="M274" s="293"/>
      <c r="N274" s="293"/>
      <c r="O274" s="293"/>
      <c r="P274" s="293"/>
      <c r="Q274" s="293"/>
      <c r="R274" s="293"/>
      <c r="S274" s="293"/>
      <c r="T274" s="293"/>
      <c r="U274" s="293"/>
      <c r="V274" s="295"/>
    </row>
    <row r="275" spans="2:22" ht="17.45" customHeight="1">
      <c r="B275" s="410"/>
      <c r="C275" s="840" t="s">
        <v>297</v>
      </c>
      <c r="D275" s="840"/>
      <c r="E275" s="840"/>
      <c r="F275" s="286"/>
      <c r="G275" s="835" t="s">
        <v>462</v>
      </c>
      <c r="H275" s="835"/>
      <c r="I275" s="835"/>
      <c r="J275" s="835"/>
      <c r="K275" s="835"/>
      <c r="L275" s="835"/>
      <c r="M275" s="287"/>
      <c r="N275" s="836" t="s">
        <v>473</v>
      </c>
      <c r="O275" s="836"/>
      <c r="P275" s="836"/>
      <c r="Q275" s="836"/>
      <c r="R275" s="836"/>
      <c r="S275" s="836"/>
      <c r="T275" s="836"/>
      <c r="U275" s="836"/>
      <c r="V275" s="288"/>
    </row>
    <row r="276" spans="2:22" ht="17.45" customHeight="1">
      <c r="B276" s="289"/>
      <c r="C276" s="840" t="s">
        <v>298</v>
      </c>
      <c r="D276" s="840"/>
      <c r="E276" s="841" t="s">
        <v>413</v>
      </c>
      <c r="F276" s="841"/>
      <c r="G276" s="841"/>
      <c r="H276" s="841"/>
      <c r="I276" s="841"/>
      <c r="J276" s="841"/>
      <c r="K276" s="842" t="s">
        <v>299</v>
      </c>
      <c r="L276" s="842"/>
      <c r="M276" s="290"/>
      <c r="N276" s="843" t="s">
        <v>414</v>
      </c>
      <c r="O276" s="843"/>
      <c r="P276" s="843"/>
      <c r="Q276" s="290"/>
      <c r="R276" s="290"/>
      <c r="S276" s="290"/>
      <c r="T276" s="290"/>
      <c r="U276" s="290"/>
      <c r="V276" s="291"/>
    </row>
    <row r="277" spans="2:22" ht="17.45" customHeight="1">
      <c r="B277" s="292"/>
      <c r="C277" s="840"/>
      <c r="D277" s="840"/>
      <c r="E277" s="841"/>
      <c r="F277" s="841"/>
      <c r="G277" s="841"/>
      <c r="H277" s="841"/>
      <c r="I277" s="841"/>
      <c r="J277" s="841"/>
      <c r="K277" s="844" t="s">
        <v>301</v>
      </c>
      <c r="L277" s="844"/>
      <c r="M277" s="293"/>
      <c r="N277" s="845">
        <v>1</v>
      </c>
      <c r="O277" s="845"/>
      <c r="P277" s="845"/>
      <c r="Q277" s="293"/>
      <c r="R277" s="844" t="s">
        <v>302</v>
      </c>
      <c r="S277" s="844"/>
      <c r="T277" s="293"/>
      <c r="U277" s="294" t="s">
        <v>303</v>
      </c>
      <c r="V277" s="295"/>
    </row>
    <row r="278" spans="2:22" ht="17.45" customHeight="1">
      <c r="B278" s="830" t="s">
        <v>304</v>
      </c>
      <c r="C278" s="830"/>
      <c r="D278" s="831" t="s">
        <v>210</v>
      </c>
      <c r="E278" s="831"/>
      <c r="F278" s="831"/>
      <c r="G278" s="831"/>
      <c r="H278" s="831"/>
      <c r="I278" s="831"/>
      <c r="J278" s="830" t="s">
        <v>211</v>
      </c>
      <c r="K278" s="830"/>
      <c r="L278" s="830" t="s">
        <v>213</v>
      </c>
      <c r="M278" s="830"/>
      <c r="N278" s="830"/>
      <c r="O278" s="831" t="s">
        <v>305</v>
      </c>
      <c r="P278" s="831"/>
      <c r="Q278" s="831"/>
      <c r="R278" s="831"/>
      <c r="S278" s="831" t="s">
        <v>306</v>
      </c>
      <c r="T278" s="831"/>
      <c r="U278" s="831"/>
      <c r="V278" s="831"/>
    </row>
    <row r="279" spans="2:22" ht="17.45" customHeight="1">
      <c r="B279" s="338"/>
      <c r="C279" s="413" t="s">
        <v>312</v>
      </c>
      <c r="D279" s="832" t="s">
        <v>313</v>
      </c>
      <c r="E279" s="832"/>
      <c r="F279" s="832"/>
      <c r="G279" s="832"/>
      <c r="H279" s="832"/>
      <c r="I279" s="832"/>
      <c r="J279" s="846" t="s">
        <v>311</v>
      </c>
      <c r="K279" s="846"/>
      <c r="L279" s="833">
        <v>1.09E-2</v>
      </c>
      <c r="M279" s="833"/>
      <c r="N279" s="833"/>
      <c r="O279" s="834">
        <v>16.829999999999998</v>
      </c>
      <c r="P279" s="834"/>
      <c r="Q279" s="834"/>
      <c r="R279" s="834"/>
      <c r="S279" s="847">
        <f>L279*O279</f>
        <v>0.18344699999999997</v>
      </c>
      <c r="T279" s="847"/>
      <c r="U279" s="847"/>
      <c r="V279" s="847"/>
    </row>
    <row r="280" spans="2:22" ht="17.45" customHeight="1">
      <c r="B280" s="340"/>
      <c r="C280" s="412" t="s">
        <v>408</v>
      </c>
      <c r="D280" s="816" t="s">
        <v>409</v>
      </c>
      <c r="E280" s="816"/>
      <c r="F280" s="816"/>
      <c r="G280" s="816"/>
      <c r="H280" s="816"/>
      <c r="I280" s="816"/>
      <c r="J280" s="817" t="s">
        <v>372</v>
      </c>
      <c r="K280" s="817"/>
      <c r="L280" s="818">
        <v>1.8E-3</v>
      </c>
      <c r="M280" s="818"/>
      <c r="N280" s="818"/>
      <c r="O280" s="819">
        <v>228.97</v>
      </c>
      <c r="P280" s="819"/>
      <c r="Q280" s="819"/>
      <c r="R280" s="819"/>
      <c r="S280" s="820">
        <f t="shared" ref="S280:S283" si="9">L280*O280</f>
        <v>0.41214600000000001</v>
      </c>
      <c r="T280" s="814"/>
      <c r="U280" s="814"/>
      <c r="V280" s="815"/>
    </row>
    <row r="281" spans="2:22" ht="17.45" customHeight="1">
      <c r="B281" s="340"/>
      <c r="C281" s="412" t="s">
        <v>415</v>
      </c>
      <c r="D281" s="816" t="s">
        <v>416</v>
      </c>
      <c r="E281" s="816"/>
      <c r="F281" s="816"/>
      <c r="G281" s="816"/>
      <c r="H281" s="816"/>
      <c r="I281" s="816"/>
      <c r="J281" s="817" t="s">
        <v>372</v>
      </c>
      <c r="K281" s="817"/>
      <c r="L281" s="818">
        <v>4.0000000000000002E-4</v>
      </c>
      <c r="M281" s="818"/>
      <c r="N281" s="818"/>
      <c r="O281" s="819">
        <v>155.08000000000001</v>
      </c>
      <c r="P281" s="819"/>
      <c r="Q281" s="819"/>
      <c r="R281" s="819"/>
      <c r="S281" s="820">
        <f t="shared" si="9"/>
        <v>6.2032000000000011E-2</v>
      </c>
      <c r="T281" s="814"/>
      <c r="U281" s="814"/>
      <c r="V281" s="815"/>
    </row>
    <row r="282" spans="2:22" ht="17.45" customHeight="1">
      <c r="B282" s="340"/>
      <c r="C282" s="412" t="s">
        <v>417</v>
      </c>
      <c r="D282" s="816" t="s">
        <v>416</v>
      </c>
      <c r="E282" s="816"/>
      <c r="F282" s="816"/>
      <c r="G282" s="816"/>
      <c r="H282" s="816"/>
      <c r="I282" s="816"/>
      <c r="J282" s="817" t="s">
        <v>379</v>
      </c>
      <c r="K282" s="817"/>
      <c r="L282" s="818">
        <v>1.5E-3</v>
      </c>
      <c r="M282" s="818"/>
      <c r="N282" s="818"/>
      <c r="O282" s="819">
        <v>39.880000000000003</v>
      </c>
      <c r="P282" s="819"/>
      <c r="Q282" s="819"/>
      <c r="R282" s="819"/>
      <c r="S282" s="820">
        <f t="shared" si="9"/>
        <v>5.9820000000000005E-2</v>
      </c>
      <c r="T282" s="814"/>
      <c r="U282" s="814"/>
      <c r="V282" s="815"/>
    </row>
    <row r="283" spans="2:22" ht="17.45" customHeight="1">
      <c r="B283" s="339"/>
      <c r="C283" s="411" t="s">
        <v>418</v>
      </c>
      <c r="D283" s="821" t="s">
        <v>419</v>
      </c>
      <c r="E283" s="821"/>
      <c r="F283" s="821"/>
      <c r="G283" s="821"/>
      <c r="H283" s="821"/>
      <c r="I283" s="821"/>
      <c r="J283" s="822" t="s">
        <v>321</v>
      </c>
      <c r="K283" s="822"/>
      <c r="L283" s="823">
        <v>0.5</v>
      </c>
      <c r="M283" s="823"/>
      <c r="N283" s="823"/>
      <c r="O283" s="824">
        <v>3.68</v>
      </c>
      <c r="P283" s="824"/>
      <c r="Q283" s="824"/>
      <c r="R283" s="824"/>
      <c r="S283" s="837">
        <f t="shared" si="9"/>
        <v>1.84</v>
      </c>
      <c r="T283" s="838"/>
      <c r="U283" s="838"/>
      <c r="V283" s="839"/>
    </row>
    <row r="284" spans="2:22" ht="17.45" customHeight="1">
      <c r="B284" s="825"/>
      <c r="C284" s="825"/>
      <c r="D284" s="825"/>
      <c r="E284" s="825"/>
      <c r="F284" s="825"/>
      <c r="G284" s="825"/>
      <c r="H284" s="825"/>
      <c r="I284" s="826" t="s">
        <v>322</v>
      </c>
      <c r="J284" s="826"/>
      <c r="K284" s="826"/>
      <c r="L284" s="826"/>
      <c r="M284" s="826"/>
      <c r="N284" s="826"/>
      <c r="O284" s="826"/>
      <c r="P284" s="826"/>
      <c r="Q284" s="826"/>
      <c r="R284" s="826"/>
      <c r="S284" s="827">
        <f>SUM(S279:V283)</f>
        <v>2.557445</v>
      </c>
      <c r="T284" s="827"/>
      <c r="U284" s="827"/>
      <c r="V284" s="827"/>
    </row>
    <row r="285" spans="2:22" ht="17.45" customHeight="1">
      <c r="B285" s="828"/>
      <c r="C285" s="828"/>
      <c r="D285" s="828"/>
      <c r="E285" s="828"/>
      <c r="F285" s="828"/>
      <c r="G285" s="828"/>
      <c r="H285" s="828"/>
      <c r="I285" s="828"/>
      <c r="J285" s="828"/>
      <c r="K285" s="828"/>
      <c r="L285" s="828"/>
      <c r="M285" s="828"/>
      <c r="N285" s="828"/>
      <c r="O285" s="828"/>
      <c r="P285" s="828"/>
      <c r="Q285" s="828"/>
      <c r="R285" s="828"/>
      <c r="S285" s="828"/>
      <c r="T285" s="828"/>
      <c r="U285" s="828"/>
      <c r="V285" s="828"/>
    </row>
    <row r="286" spans="2:22" ht="17.45" customHeight="1">
      <c r="B286" s="812"/>
      <c r="C286" s="812"/>
      <c r="D286" s="812"/>
      <c r="E286" s="812"/>
      <c r="F286" s="812"/>
      <c r="G286" s="812"/>
      <c r="H286" s="812"/>
      <c r="I286" s="813" t="s">
        <v>323</v>
      </c>
      <c r="J286" s="813"/>
      <c r="K286" s="813"/>
      <c r="L286" s="813"/>
      <c r="M286" s="813"/>
      <c r="N286" s="813"/>
      <c r="O286" s="813"/>
      <c r="P286" s="813"/>
      <c r="Q286" s="813"/>
      <c r="R286" s="813"/>
      <c r="S286" s="814">
        <f>S284</f>
        <v>2.557445</v>
      </c>
      <c r="T286" s="814"/>
      <c r="U286" s="814"/>
      <c r="V286" s="815"/>
    </row>
    <row r="287" spans="2:22" ht="17.45" customHeight="1">
      <c r="B287" s="812"/>
      <c r="C287" s="812"/>
      <c r="D287" s="812"/>
      <c r="E287" s="812"/>
      <c r="F287" s="812"/>
      <c r="G287" s="812"/>
      <c r="H287" s="813" t="s">
        <v>324</v>
      </c>
      <c r="I287" s="813"/>
      <c r="J287" s="813"/>
      <c r="K287" s="813"/>
      <c r="L287" s="813"/>
      <c r="M287" s="829">
        <v>20.7</v>
      </c>
      <c r="N287" s="829"/>
      <c r="O287" s="829"/>
      <c r="P287" s="813" t="s">
        <v>325</v>
      </c>
      <c r="Q287" s="813"/>
      <c r="R287" s="813"/>
      <c r="S287" s="814">
        <f>TRUNC(S286*M287%,2)</f>
        <v>0.52</v>
      </c>
      <c r="T287" s="814"/>
      <c r="U287" s="814"/>
      <c r="V287" s="815"/>
    </row>
    <row r="288" spans="2:22" ht="17.45" customHeight="1">
      <c r="B288" s="812"/>
      <c r="C288" s="812"/>
      <c r="D288" s="812"/>
      <c r="E288" s="812"/>
      <c r="F288" s="812"/>
      <c r="G288" s="812"/>
      <c r="H288" s="812"/>
      <c r="I288" s="813" t="s">
        <v>326</v>
      </c>
      <c r="J288" s="813"/>
      <c r="K288" s="813"/>
      <c r="L288" s="813"/>
      <c r="M288" s="813"/>
      <c r="N288" s="813"/>
      <c r="O288" s="813"/>
      <c r="P288" s="813"/>
      <c r="Q288" s="813"/>
      <c r="R288" s="813"/>
      <c r="S288" s="814">
        <f>S286+S287</f>
        <v>3.077445</v>
      </c>
      <c r="T288" s="814"/>
      <c r="U288" s="814"/>
      <c r="V288" s="815"/>
    </row>
    <row r="289" spans="2:22" ht="144.94999999999999" customHeight="1">
      <c r="B289" s="296"/>
      <c r="V289" s="299"/>
    </row>
    <row r="290" spans="2:22" ht="144.94999999999999" customHeight="1">
      <c r="B290" s="296"/>
      <c r="V290" s="299"/>
    </row>
    <row r="291" spans="2:22" ht="184.5" customHeight="1">
      <c r="B291" s="296"/>
      <c r="V291" s="299"/>
    </row>
    <row r="292" spans="2:22" ht="17.45" customHeight="1">
      <c r="B292" s="292"/>
      <c r="C292" s="293"/>
      <c r="D292" s="300"/>
      <c r="E292" s="300"/>
      <c r="F292" s="300"/>
      <c r="G292" s="300"/>
      <c r="H292" s="300"/>
      <c r="I292" s="300"/>
      <c r="J292" s="300"/>
      <c r="K292" s="293"/>
      <c r="L292" s="293"/>
      <c r="M292" s="293"/>
      <c r="N292" s="293"/>
      <c r="O292" s="293"/>
      <c r="P292" s="293"/>
      <c r="Q292" s="293"/>
      <c r="R292" s="293"/>
      <c r="S292" s="293"/>
      <c r="T292" s="293"/>
      <c r="U292" s="293"/>
      <c r="V292" s="295"/>
    </row>
    <row r="293" spans="2:22" ht="17.45" customHeight="1">
      <c r="B293" s="410"/>
      <c r="C293" s="840" t="s">
        <v>297</v>
      </c>
      <c r="D293" s="840"/>
      <c r="E293" s="840"/>
      <c r="F293" s="286"/>
      <c r="G293" s="835" t="s">
        <v>462</v>
      </c>
      <c r="H293" s="835"/>
      <c r="I293" s="835"/>
      <c r="J293" s="835"/>
      <c r="K293" s="835"/>
      <c r="L293" s="835"/>
      <c r="M293" s="287"/>
      <c r="N293" s="836" t="s">
        <v>473</v>
      </c>
      <c r="O293" s="836"/>
      <c r="P293" s="836"/>
      <c r="Q293" s="836"/>
      <c r="R293" s="836"/>
      <c r="S293" s="836"/>
      <c r="T293" s="836"/>
      <c r="U293" s="836"/>
      <c r="V293" s="288"/>
    </row>
    <row r="294" spans="2:22" ht="17.45" customHeight="1">
      <c r="B294" s="289"/>
      <c r="C294" s="840" t="s">
        <v>298</v>
      </c>
      <c r="D294" s="840"/>
      <c r="E294" s="841" t="s">
        <v>420</v>
      </c>
      <c r="F294" s="841"/>
      <c r="G294" s="841"/>
      <c r="H294" s="841"/>
      <c r="I294" s="841"/>
      <c r="J294" s="841"/>
      <c r="K294" s="842" t="s">
        <v>299</v>
      </c>
      <c r="L294" s="842"/>
      <c r="M294" s="290"/>
      <c r="N294" s="843" t="s">
        <v>421</v>
      </c>
      <c r="O294" s="843"/>
      <c r="P294" s="843"/>
      <c r="Q294" s="290"/>
      <c r="R294" s="290"/>
      <c r="S294" s="290"/>
      <c r="T294" s="290"/>
      <c r="U294" s="290"/>
      <c r="V294" s="291"/>
    </row>
    <row r="295" spans="2:22" ht="17.45" customHeight="1">
      <c r="B295" s="292"/>
      <c r="C295" s="840"/>
      <c r="D295" s="840"/>
      <c r="E295" s="841"/>
      <c r="F295" s="841"/>
      <c r="G295" s="841"/>
      <c r="H295" s="841"/>
      <c r="I295" s="841"/>
      <c r="J295" s="841"/>
      <c r="K295" s="844" t="s">
        <v>301</v>
      </c>
      <c r="L295" s="844"/>
      <c r="M295" s="293"/>
      <c r="N295" s="845">
        <v>1</v>
      </c>
      <c r="O295" s="845"/>
      <c r="P295" s="845"/>
      <c r="Q295" s="293"/>
      <c r="R295" s="844" t="s">
        <v>302</v>
      </c>
      <c r="S295" s="844"/>
      <c r="T295" s="293"/>
      <c r="U295" s="294" t="s">
        <v>309</v>
      </c>
      <c r="V295" s="295"/>
    </row>
    <row r="296" spans="2:22" ht="17.45" customHeight="1">
      <c r="B296" s="830" t="s">
        <v>304</v>
      </c>
      <c r="C296" s="830"/>
      <c r="D296" s="831" t="s">
        <v>210</v>
      </c>
      <c r="E296" s="831"/>
      <c r="F296" s="831"/>
      <c r="G296" s="831"/>
      <c r="H296" s="831"/>
      <c r="I296" s="831"/>
      <c r="J296" s="830" t="s">
        <v>211</v>
      </c>
      <c r="K296" s="830"/>
      <c r="L296" s="830" t="s">
        <v>213</v>
      </c>
      <c r="M296" s="830"/>
      <c r="N296" s="830"/>
      <c r="O296" s="831" t="s">
        <v>305</v>
      </c>
      <c r="P296" s="831"/>
      <c r="Q296" s="831"/>
      <c r="R296" s="831"/>
      <c r="S296" s="831" t="s">
        <v>306</v>
      </c>
      <c r="T296" s="831"/>
      <c r="U296" s="831"/>
      <c r="V296" s="831"/>
    </row>
    <row r="297" spans="2:22" ht="17.45" customHeight="1">
      <c r="B297" s="338"/>
      <c r="C297" s="413">
        <v>5835</v>
      </c>
      <c r="D297" s="832" t="s">
        <v>422</v>
      </c>
      <c r="E297" s="832"/>
      <c r="F297" s="832"/>
      <c r="G297" s="832"/>
      <c r="H297" s="832"/>
      <c r="I297" s="832"/>
      <c r="J297" s="846" t="s">
        <v>372</v>
      </c>
      <c r="K297" s="846"/>
      <c r="L297" s="833">
        <v>5.8000000000000003E-2</v>
      </c>
      <c r="M297" s="833"/>
      <c r="N297" s="833"/>
      <c r="O297" s="834">
        <v>412.04</v>
      </c>
      <c r="P297" s="834"/>
      <c r="Q297" s="834"/>
      <c r="R297" s="834"/>
      <c r="S297" s="847">
        <f>L297*O297</f>
        <v>23.898320000000002</v>
      </c>
      <c r="T297" s="847"/>
      <c r="U297" s="847"/>
      <c r="V297" s="847"/>
    </row>
    <row r="298" spans="2:22" ht="17.45" customHeight="1">
      <c r="B298" s="340"/>
      <c r="C298" s="412" t="s">
        <v>423</v>
      </c>
      <c r="D298" s="816" t="s">
        <v>422</v>
      </c>
      <c r="E298" s="816"/>
      <c r="F298" s="816"/>
      <c r="G298" s="816"/>
      <c r="H298" s="816"/>
      <c r="I298" s="816"/>
      <c r="J298" s="817" t="s">
        <v>379</v>
      </c>
      <c r="K298" s="817"/>
      <c r="L298" s="818">
        <v>0.1186</v>
      </c>
      <c r="M298" s="818"/>
      <c r="N298" s="818"/>
      <c r="O298" s="819">
        <v>149.47</v>
      </c>
      <c r="P298" s="819"/>
      <c r="Q298" s="819"/>
      <c r="R298" s="819"/>
      <c r="S298" s="820">
        <f t="shared" ref="S298:S307" si="10">L298*O298</f>
        <v>17.727142000000001</v>
      </c>
      <c r="T298" s="814"/>
      <c r="U298" s="814"/>
      <c r="V298" s="815"/>
    </row>
    <row r="299" spans="2:22" ht="17.45" customHeight="1">
      <c r="B299" s="340"/>
      <c r="C299" s="412" t="s">
        <v>424</v>
      </c>
      <c r="D299" s="816" t="s">
        <v>425</v>
      </c>
      <c r="E299" s="816"/>
      <c r="F299" s="816"/>
      <c r="G299" s="816"/>
      <c r="H299" s="816"/>
      <c r="I299" s="816"/>
      <c r="J299" s="817" t="s">
        <v>311</v>
      </c>
      <c r="K299" s="817"/>
      <c r="L299" s="818">
        <v>1.4126000000000001</v>
      </c>
      <c r="M299" s="818"/>
      <c r="N299" s="818"/>
      <c r="O299" s="819">
        <v>14.19</v>
      </c>
      <c r="P299" s="819"/>
      <c r="Q299" s="819"/>
      <c r="R299" s="819"/>
      <c r="S299" s="820">
        <f t="shared" si="10"/>
        <v>20.044794</v>
      </c>
      <c r="T299" s="814"/>
      <c r="U299" s="814"/>
      <c r="V299" s="815"/>
    </row>
    <row r="300" spans="2:22" ht="17.45" customHeight="1">
      <c r="B300" s="340"/>
      <c r="C300" s="412">
        <v>91386</v>
      </c>
      <c r="D300" s="816" t="s">
        <v>378</v>
      </c>
      <c r="E300" s="816"/>
      <c r="F300" s="816"/>
      <c r="G300" s="816"/>
      <c r="H300" s="816"/>
      <c r="I300" s="816"/>
      <c r="J300" s="817" t="s">
        <v>372</v>
      </c>
      <c r="K300" s="817"/>
      <c r="L300" s="818">
        <v>5.8000000000000003E-2</v>
      </c>
      <c r="M300" s="818"/>
      <c r="N300" s="818"/>
      <c r="O300" s="819">
        <v>180.94</v>
      </c>
      <c r="P300" s="819"/>
      <c r="Q300" s="819"/>
      <c r="R300" s="819"/>
      <c r="S300" s="820">
        <f t="shared" si="10"/>
        <v>10.49452</v>
      </c>
      <c r="T300" s="814"/>
      <c r="U300" s="814"/>
      <c r="V300" s="815"/>
    </row>
    <row r="301" spans="2:22" ht="17.45" customHeight="1">
      <c r="B301" s="340"/>
      <c r="C301" s="412">
        <v>95631</v>
      </c>
      <c r="D301" s="816" t="s">
        <v>426</v>
      </c>
      <c r="E301" s="816"/>
      <c r="F301" s="816"/>
      <c r="G301" s="816"/>
      <c r="H301" s="816"/>
      <c r="I301" s="816"/>
      <c r="J301" s="817" t="s">
        <v>372</v>
      </c>
      <c r="K301" s="817"/>
      <c r="L301" s="818">
        <v>9.5100000000000004E-2</v>
      </c>
      <c r="M301" s="818"/>
      <c r="N301" s="818"/>
      <c r="O301" s="819">
        <v>203.6</v>
      </c>
      <c r="P301" s="819"/>
      <c r="Q301" s="819"/>
      <c r="R301" s="819"/>
      <c r="S301" s="820">
        <f t="shared" si="10"/>
        <v>19.362359999999999</v>
      </c>
      <c r="T301" s="814"/>
      <c r="U301" s="814"/>
      <c r="V301" s="815"/>
    </row>
    <row r="302" spans="2:22" ht="17.45" customHeight="1">
      <c r="B302" s="340"/>
      <c r="C302" s="412" t="s">
        <v>427</v>
      </c>
      <c r="D302" s="816" t="s">
        <v>426</v>
      </c>
      <c r="E302" s="816"/>
      <c r="F302" s="816"/>
      <c r="G302" s="816"/>
      <c r="H302" s="816"/>
      <c r="I302" s="816"/>
      <c r="J302" s="817" t="s">
        <v>379</v>
      </c>
      <c r="K302" s="817"/>
      <c r="L302" s="818">
        <v>8.1500000000000003E-2</v>
      </c>
      <c r="M302" s="818"/>
      <c r="N302" s="818"/>
      <c r="O302" s="819">
        <v>64.739999999999995</v>
      </c>
      <c r="P302" s="819"/>
      <c r="Q302" s="819"/>
      <c r="R302" s="819"/>
      <c r="S302" s="820">
        <f t="shared" si="10"/>
        <v>5.2763099999999996</v>
      </c>
      <c r="T302" s="814"/>
      <c r="U302" s="814"/>
      <c r="V302" s="815"/>
    </row>
    <row r="303" spans="2:22" ht="17.45" customHeight="1">
      <c r="B303" s="340"/>
      <c r="C303" s="412" t="s">
        <v>428</v>
      </c>
      <c r="D303" s="816" t="s">
        <v>389</v>
      </c>
      <c r="E303" s="816"/>
      <c r="F303" s="816"/>
      <c r="G303" s="816"/>
      <c r="H303" s="816"/>
      <c r="I303" s="816"/>
      <c r="J303" s="817" t="s">
        <v>372</v>
      </c>
      <c r="K303" s="817"/>
      <c r="L303" s="818">
        <v>4.2700000000000002E-2</v>
      </c>
      <c r="M303" s="818"/>
      <c r="N303" s="818"/>
      <c r="O303" s="819">
        <v>117.29</v>
      </c>
      <c r="P303" s="819"/>
      <c r="Q303" s="819"/>
      <c r="R303" s="819"/>
      <c r="S303" s="820">
        <f t="shared" si="10"/>
        <v>5.0082830000000005</v>
      </c>
      <c r="T303" s="814"/>
      <c r="U303" s="814"/>
      <c r="V303" s="815"/>
    </row>
    <row r="304" spans="2:22" ht="17.45" customHeight="1">
      <c r="B304" s="340"/>
      <c r="C304" s="412">
        <v>96155</v>
      </c>
      <c r="D304" s="816" t="s">
        <v>389</v>
      </c>
      <c r="E304" s="816"/>
      <c r="F304" s="816"/>
      <c r="G304" s="816"/>
      <c r="H304" s="816"/>
      <c r="I304" s="816"/>
      <c r="J304" s="817" t="s">
        <v>379</v>
      </c>
      <c r="K304" s="817"/>
      <c r="L304" s="818">
        <v>0.13389999999999999</v>
      </c>
      <c r="M304" s="818"/>
      <c r="N304" s="818"/>
      <c r="O304" s="819">
        <v>34.9</v>
      </c>
      <c r="P304" s="819"/>
      <c r="Q304" s="819"/>
      <c r="R304" s="819"/>
      <c r="S304" s="820">
        <f t="shared" si="10"/>
        <v>4.6731099999999994</v>
      </c>
      <c r="T304" s="814"/>
      <c r="U304" s="814"/>
      <c r="V304" s="815"/>
    </row>
    <row r="305" spans="2:22" ht="17.45" customHeight="1">
      <c r="B305" s="340"/>
      <c r="C305" s="412" t="s">
        <v>400</v>
      </c>
      <c r="D305" s="816" t="s">
        <v>401</v>
      </c>
      <c r="E305" s="816"/>
      <c r="F305" s="816"/>
      <c r="G305" s="816"/>
      <c r="H305" s="816"/>
      <c r="I305" s="816"/>
      <c r="J305" s="817" t="s">
        <v>372</v>
      </c>
      <c r="K305" s="817"/>
      <c r="L305" s="818">
        <v>4.9500000000000002E-2</v>
      </c>
      <c r="M305" s="818"/>
      <c r="N305" s="818"/>
      <c r="O305" s="819">
        <v>190.44</v>
      </c>
      <c r="P305" s="819"/>
      <c r="Q305" s="819"/>
      <c r="R305" s="819"/>
      <c r="S305" s="820">
        <f t="shared" si="10"/>
        <v>9.4267800000000008</v>
      </c>
      <c r="T305" s="814"/>
      <c r="U305" s="814"/>
      <c r="V305" s="815"/>
    </row>
    <row r="306" spans="2:22" ht="17.45" customHeight="1">
      <c r="B306" s="340"/>
      <c r="C306" s="412" t="s">
        <v>402</v>
      </c>
      <c r="D306" s="816" t="s">
        <v>401</v>
      </c>
      <c r="E306" s="816"/>
      <c r="F306" s="816"/>
      <c r="G306" s="816"/>
      <c r="H306" s="816"/>
      <c r="I306" s="816"/>
      <c r="J306" s="817" t="s">
        <v>379</v>
      </c>
      <c r="K306" s="817"/>
      <c r="L306" s="818">
        <v>0.30370000000000003</v>
      </c>
      <c r="M306" s="818"/>
      <c r="N306" s="818"/>
      <c r="O306" s="819">
        <v>70.06</v>
      </c>
      <c r="P306" s="819"/>
      <c r="Q306" s="819"/>
      <c r="R306" s="819"/>
      <c r="S306" s="820">
        <f t="shared" si="10"/>
        <v>21.277222000000002</v>
      </c>
      <c r="T306" s="814"/>
      <c r="U306" s="814"/>
      <c r="V306" s="815"/>
    </row>
    <row r="307" spans="2:22" ht="17.45" customHeight="1">
      <c r="B307" s="339"/>
      <c r="C307" s="411">
        <v>1518</v>
      </c>
      <c r="D307" s="821" t="s">
        <v>429</v>
      </c>
      <c r="E307" s="821"/>
      <c r="F307" s="821"/>
      <c r="G307" s="821"/>
      <c r="H307" s="821"/>
      <c r="I307" s="821"/>
      <c r="J307" s="822" t="s">
        <v>430</v>
      </c>
      <c r="K307" s="822"/>
      <c r="L307" s="823">
        <v>2.5548000000000002</v>
      </c>
      <c r="M307" s="823"/>
      <c r="N307" s="823"/>
      <c r="O307" s="824">
        <v>457.5</v>
      </c>
      <c r="P307" s="824"/>
      <c r="Q307" s="824"/>
      <c r="R307" s="824"/>
      <c r="S307" s="837">
        <f t="shared" si="10"/>
        <v>1168.8210000000001</v>
      </c>
      <c r="T307" s="838"/>
      <c r="U307" s="838"/>
      <c r="V307" s="839"/>
    </row>
    <row r="308" spans="2:22" ht="17.45" customHeight="1">
      <c r="B308" s="825"/>
      <c r="C308" s="825"/>
      <c r="D308" s="825"/>
      <c r="E308" s="825"/>
      <c r="F308" s="825"/>
      <c r="G308" s="825"/>
      <c r="H308" s="825"/>
      <c r="I308" s="826" t="s">
        <v>322</v>
      </c>
      <c r="J308" s="826"/>
      <c r="K308" s="826"/>
      <c r="L308" s="826"/>
      <c r="M308" s="826"/>
      <c r="N308" s="826"/>
      <c r="O308" s="826"/>
      <c r="P308" s="826"/>
      <c r="Q308" s="826"/>
      <c r="R308" s="826"/>
      <c r="S308" s="827">
        <f>SUM(S297:V307)</f>
        <v>1306.0098410000001</v>
      </c>
      <c r="T308" s="827"/>
      <c r="U308" s="827"/>
      <c r="V308" s="827"/>
    </row>
    <row r="309" spans="2:22" ht="17.45" customHeight="1">
      <c r="B309" s="828"/>
      <c r="C309" s="828"/>
      <c r="D309" s="828"/>
      <c r="E309" s="828"/>
      <c r="F309" s="828"/>
      <c r="G309" s="828"/>
      <c r="H309" s="828"/>
      <c r="I309" s="828"/>
      <c r="J309" s="828"/>
      <c r="K309" s="828"/>
      <c r="L309" s="828"/>
      <c r="M309" s="828"/>
      <c r="N309" s="828"/>
      <c r="O309" s="828"/>
      <c r="P309" s="828"/>
      <c r="Q309" s="828"/>
      <c r="R309" s="828"/>
      <c r="S309" s="828"/>
      <c r="T309" s="828"/>
      <c r="U309" s="828"/>
      <c r="V309" s="828"/>
    </row>
    <row r="310" spans="2:22" ht="17.45" customHeight="1">
      <c r="B310" s="812"/>
      <c r="C310" s="812"/>
      <c r="D310" s="812"/>
      <c r="E310" s="812"/>
      <c r="F310" s="812"/>
      <c r="G310" s="812"/>
      <c r="H310" s="812"/>
      <c r="I310" s="813" t="s">
        <v>323</v>
      </c>
      <c r="J310" s="813"/>
      <c r="K310" s="813"/>
      <c r="L310" s="813"/>
      <c r="M310" s="813"/>
      <c r="N310" s="813"/>
      <c r="O310" s="813"/>
      <c r="P310" s="813"/>
      <c r="Q310" s="813"/>
      <c r="R310" s="813"/>
      <c r="S310" s="814">
        <f>S308</f>
        <v>1306.0098410000001</v>
      </c>
      <c r="T310" s="814"/>
      <c r="U310" s="814"/>
      <c r="V310" s="815"/>
    </row>
    <row r="311" spans="2:22" ht="17.45" customHeight="1">
      <c r="B311" s="812"/>
      <c r="C311" s="812"/>
      <c r="D311" s="812"/>
      <c r="E311" s="812"/>
      <c r="F311" s="812"/>
      <c r="G311" s="812"/>
      <c r="H311" s="813" t="s">
        <v>324</v>
      </c>
      <c r="I311" s="813"/>
      <c r="J311" s="813"/>
      <c r="K311" s="813"/>
      <c r="L311" s="813"/>
      <c r="M311" s="829">
        <v>20.7</v>
      </c>
      <c r="N311" s="829"/>
      <c r="O311" s="829"/>
      <c r="P311" s="813" t="s">
        <v>325</v>
      </c>
      <c r="Q311" s="813"/>
      <c r="R311" s="813"/>
      <c r="S311" s="814">
        <f>TRUNC(S310*M311%,2)</f>
        <v>270.33999999999997</v>
      </c>
      <c r="T311" s="814"/>
      <c r="U311" s="814"/>
      <c r="V311" s="815"/>
    </row>
    <row r="312" spans="2:22" ht="17.45" customHeight="1">
      <c r="B312" s="812"/>
      <c r="C312" s="812"/>
      <c r="D312" s="812"/>
      <c r="E312" s="812"/>
      <c r="F312" s="812"/>
      <c r="G312" s="812"/>
      <c r="H312" s="812"/>
      <c r="I312" s="813" t="s">
        <v>326</v>
      </c>
      <c r="J312" s="813"/>
      <c r="K312" s="813"/>
      <c r="L312" s="813"/>
      <c r="M312" s="813"/>
      <c r="N312" s="813"/>
      <c r="O312" s="813"/>
      <c r="P312" s="813"/>
      <c r="Q312" s="813"/>
      <c r="R312" s="813"/>
      <c r="S312" s="814">
        <f>S310+S311</f>
        <v>1576.349841</v>
      </c>
      <c r="T312" s="814"/>
      <c r="U312" s="814"/>
      <c r="V312" s="815"/>
    </row>
    <row r="313" spans="2:22" ht="144.94999999999999" customHeight="1">
      <c r="B313" s="296"/>
      <c r="V313" s="299"/>
    </row>
    <row r="314" spans="2:22" ht="88.5" customHeight="1">
      <c r="B314" s="296"/>
      <c r="V314" s="299"/>
    </row>
    <row r="315" spans="2:22" ht="144.94999999999999" customHeight="1">
      <c r="B315" s="296"/>
      <c r="V315" s="299"/>
    </row>
    <row r="316" spans="2:22" ht="17.45" customHeight="1">
      <c r="B316" s="292"/>
      <c r="C316" s="293"/>
      <c r="D316" s="300"/>
      <c r="E316" s="300"/>
      <c r="F316" s="300"/>
      <c r="G316" s="300"/>
      <c r="H316" s="300"/>
      <c r="I316" s="300"/>
      <c r="J316" s="300"/>
      <c r="K316" s="293"/>
      <c r="L316" s="293"/>
      <c r="M316" s="293"/>
      <c r="N316" s="293"/>
      <c r="O316" s="293"/>
      <c r="P316" s="293"/>
      <c r="Q316" s="293"/>
      <c r="R316" s="293"/>
      <c r="S316" s="293"/>
      <c r="T316" s="293"/>
      <c r="U316" s="293"/>
      <c r="V316" s="295"/>
    </row>
    <row r="317" spans="2:22" ht="17.45" customHeight="1">
      <c r="B317" s="410"/>
      <c r="C317" s="840" t="s">
        <v>297</v>
      </c>
      <c r="D317" s="840"/>
      <c r="E317" s="840"/>
      <c r="F317" s="286"/>
      <c r="G317" s="835" t="s">
        <v>462</v>
      </c>
      <c r="H317" s="835"/>
      <c r="I317" s="835"/>
      <c r="J317" s="835"/>
      <c r="K317" s="835"/>
      <c r="L317" s="835"/>
      <c r="M317" s="287"/>
      <c r="N317" s="836" t="s">
        <v>473</v>
      </c>
      <c r="O317" s="836"/>
      <c r="P317" s="836"/>
      <c r="Q317" s="836"/>
      <c r="R317" s="836"/>
      <c r="S317" s="836"/>
      <c r="T317" s="836"/>
      <c r="U317" s="836"/>
      <c r="V317" s="288"/>
    </row>
    <row r="318" spans="2:22" ht="17.45" customHeight="1">
      <c r="B318" s="289"/>
      <c r="C318" s="840" t="s">
        <v>298</v>
      </c>
      <c r="D318" s="840"/>
      <c r="E318" s="841" t="s">
        <v>431</v>
      </c>
      <c r="F318" s="841"/>
      <c r="G318" s="841"/>
      <c r="H318" s="841"/>
      <c r="I318" s="841"/>
      <c r="J318" s="841"/>
      <c r="K318" s="842" t="s">
        <v>299</v>
      </c>
      <c r="L318" s="842"/>
      <c r="M318" s="290"/>
      <c r="N318" s="843" t="s">
        <v>432</v>
      </c>
      <c r="O318" s="843"/>
      <c r="P318" s="843"/>
      <c r="Q318" s="290"/>
      <c r="R318" s="290"/>
      <c r="S318" s="290"/>
      <c r="T318" s="290"/>
      <c r="U318" s="290"/>
      <c r="V318" s="291"/>
    </row>
    <row r="319" spans="2:22" ht="17.45" customHeight="1">
      <c r="B319" s="292"/>
      <c r="C319" s="840"/>
      <c r="D319" s="840"/>
      <c r="E319" s="841"/>
      <c r="F319" s="841"/>
      <c r="G319" s="841"/>
      <c r="H319" s="841"/>
      <c r="I319" s="841"/>
      <c r="J319" s="841"/>
      <c r="K319" s="844" t="s">
        <v>301</v>
      </c>
      <c r="L319" s="844"/>
      <c r="M319" s="293"/>
      <c r="N319" s="845">
        <v>1</v>
      </c>
      <c r="O319" s="845"/>
      <c r="P319" s="845"/>
      <c r="Q319" s="293"/>
      <c r="R319" s="844" t="s">
        <v>302</v>
      </c>
      <c r="S319" s="844"/>
      <c r="T319" s="293"/>
      <c r="U319" s="294" t="s">
        <v>309</v>
      </c>
      <c r="V319" s="295"/>
    </row>
    <row r="320" spans="2:22" ht="17.45" customHeight="1">
      <c r="B320" s="830" t="s">
        <v>304</v>
      </c>
      <c r="C320" s="830"/>
      <c r="D320" s="831" t="s">
        <v>210</v>
      </c>
      <c r="E320" s="831"/>
      <c r="F320" s="831"/>
      <c r="G320" s="831"/>
      <c r="H320" s="831"/>
      <c r="I320" s="831"/>
      <c r="J320" s="830" t="s">
        <v>211</v>
      </c>
      <c r="K320" s="830"/>
      <c r="L320" s="830" t="s">
        <v>213</v>
      </c>
      <c r="M320" s="830"/>
      <c r="N320" s="830"/>
      <c r="O320" s="831" t="s">
        <v>305</v>
      </c>
      <c r="P320" s="831"/>
      <c r="Q320" s="831"/>
      <c r="R320" s="831"/>
      <c r="S320" s="831" t="s">
        <v>306</v>
      </c>
      <c r="T320" s="831"/>
      <c r="U320" s="831"/>
      <c r="V320" s="831"/>
    </row>
    <row r="321" spans="2:22" ht="17.45" customHeight="1">
      <c r="B321" s="341"/>
      <c r="C321" s="415">
        <v>5811</v>
      </c>
      <c r="D321" s="848" t="s">
        <v>433</v>
      </c>
      <c r="E321" s="848"/>
      <c r="F321" s="848"/>
      <c r="G321" s="848"/>
      <c r="H321" s="848"/>
      <c r="I321" s="848"/>
      <c r="J321" s="849" t="s">
        <v>372</v>
      </c>
      <c r="K321" s="849"/>
      <c r="L321" s="850">
        <v>3.4799999999999998E-2</v>
      </c>
      <c r="M321" s="850"/>
      <c r="N321" s="850"/>
      <c r="O321" s="851">
        <v>180.88</v>
      </c>
      <c r="P321" s="851"/>
      <c r="Q321" s="851"/>
      <c r="R321" s="851"/>
      <c r="S321" s="852">
        <f>L321*O321</f>
        <v>6.2946239999999998</v>
      </c>
      <c r="T321" s="852"/>
      <c r="U321" s="852"/>
      <c r="V321" s="852"/>
    </row>
    <row r="322" spans="2:22" ht="17.45" customHeight="1">
      <c r="B322" s="825"/>
      <c r="C322" s="825"/>
      <c r="D322" s="825"/>
      <c r="E322" s="825"/>
      <c r="F322" s="825"/>
      <c r="G322" s="825"/>
      <c r="H322" s="825"/>
      <c r="I322" s="826" t="s">
        <v>322</v>
      </c>
      <c r="J322" s="826"/>
      <c r="K322" s="826"/>
      <c r="L322" s="826"/>
      <c r="M322" s="826"/>
      <c r="N322" s="826"/>
      <c r="O322" s="826"/>
      <c r="P322" s="826"/>
      <c r="Q322" s="826"/>
      <c r="R322" s="826"/>
      <c r="S322" s="827">
        <f>SUM(S321)</f>
        <v>6.2946239999999998</v>
      </c>
      <c r="T322" s="827"/>
      <c r="U322" s="827"/>
      <c r="V322" s="827"/>
    </row>
    <row r="323" spans="2:22" ht="17.45" customHeight="1">
      <c r="B323" s="828"/>
      <c r="C323" s="828"/>
      <c r="D323" s="828"/>
      <c r="E323" s="828"/>
      <c r="F323" s="828"/>
      <c r="G323" s="828"/>
      <c r="H323" s="828"/>
      <c r="I323" s="828"/>
      <c r="J323" s="828"/>
      <c r="K323" s="828"/>
      <c r="L323" s="828"/>
      <c r="M323" s="828"/>
      <c r="N323" s="828"/>
      <c r="O323" s="828"/>
      <c r="P323" s="828"/>
      <c r="Q323" s="828"/>
      <c r="R323" s="828"/>
      <c r="S323" s="828"/>
      <c r="T323" s="828"/>
      <c r="U323" s="828"/>
      <c r="V323" s="828"/>
    </row>
    <row r="324" spans="2:22" ht="17.45" customHeight="1">
      <c r="B324" s="812"/>
      <c r="C324" s="812"/>
      <c r="D324" s="812"/>
      <c r="E324" s="812"/>
      <c r="F324" s="812"/>
      <c r="G324" s="812"/>
      <c r="H324" s="812"/>
      <c r="I324" s="813" t="s">
        <v>323</v>
      </c>
      <c r="J324" s="813"/>
      <c r="K324" s="813"/>
      <c r="L324" s="813"/>
      <c r="M324" s="813"/>
      <c r="N324" s="813"/>
      <c r="O324" s="813"/>
      <c r="P324" s="813"/>
      <c r="Q324" s="813"/>
      <c r="R324" s="813"/>
      <c r="S324" s="814">
        <f>S322</f>
        <v>6.2946239999999998</v>
      </c>
      <c r="T324" s="814"/>
      <c r="U324" s="814"/>
      <c r="V324" s="815"/>
    </row>
    <row r="325" spans="2:22" ht="17.45" customHeight="1">
      <c r="B325" s="812"/>
      <c r="C325" s="812"/>
      <c r="D325" s="812"/>
      <c r="E325" s="812"/>
      <c r="F325" s="812"/>
      <c r="G325" s="812"/>
      <c r="H325" s="813" t="s">
        <v>324</v>
      </c>
      <c r="I325" s="813"/>
      <c r="J325" s="813"/>
      <c r="K325" s="813"/>
      <c r="L325" s="813"/>
      <c r="M325" s="829">
        <v>20.7</v>
      </c>
      <c r="N325" s="829"/>
      <c r="O325" s="829"/>
      <c r="P325" s="813" t="s">
        <v>325</v>
      </c>
      <c r="Q325" s="813"/>
      <c r="R325" s="813"/>
      <c r="S325" s="814">
        <f>TRUNC(S324*M325%,2)</f>
        <v>1.3</v>
      </c>
      <c r="T325" s="814"/>
      <c r="U325" s="814"/>
      <c r="V325" s="815"/>
    </row>
    <row r="326" spans="2:22" ht="17.45" customHeight="1">
      <c r="B326" s="812"/>
      <c r="C326" s="812"/>
      <c r="D326" s="812"/>
      <c r="E326" s="812"/>
      <c r="F326" s="812"/>
      <c r="G326" s="812"/>
      <c r="H326" s="812"/>
      <c r="I326" s="813" t="s">
        <v>326</v>
      </c>
      <c r="J326" s="813"/>
      <c r="K326" s="813"/>
      <c r="L326" s="813"/>
      <c r="M326" s="813"/>
      <c r="N326" s="813"/>
      <c r="O326" s="813"/>
      <c r="P326" s="813"/>
      <c r="Q326" s="813"/>
      <c r="R326" s="813"/>
      <c r="S326" s="814">
        <f>S324+S325</f>
        <v>7.5946239999999996</v>
      </c>
      <c r="T326" s="814"/>
      <c r="U326" s="814"/>
      <c r="V326" s="815"/>
    </row>
    <row r="327" spans="2:22" ht="144.94999999999999" customHeight="1">
      <c r="B327" s="296"/>
      <c r="V327" s="299"/>
    </row>
    <row r="328" spans="2:22" ht="144.94999999999999" customHeight="1">
      <c r="B328" s="296"/>
      <c r="V328" s="299"/>
    </row>
    <row r="329" spans="2:22" ht="240.75" customHeight="1">
      <c r="B329" s="296"/>
      <c r="V329" s="299"/>
    </row>
    <row r="330" spans="2:22" ht="17.45" customHeight="1">
      <c r="B330" s="296"/>
      <c r="V330" s="299"/>
    </row>
    <row r="331" spans="2:22" ht="17.45" customHeight="1">
      <c r="B331" s="292"/>
      <c r="C331" s="293"/>
      <c r="D331" s="300"/>
      <c r="E331" s="300"/>
      <c r="F331" s="300"/>
      <c r="G331" s="300"/>
      <c r="H331" s="300"/>
      <c r="I331" s="300"/>
      <c r="J331" s="300"/>
      <c r="K331" s="293"/>
      <c r="L331" s="293"/>
      <c r="M331" s="293"/>
      <c r="N331" s="293"/>
      <c r="O331" s="293"/>
      <c r="P331" s="293"/>
      <c r="Q331" s="293"/>
      <c r="R331" s="293"/>
      <c r="S331" s="293"/>
      <c r="T331" s="293"/>
      <c r="U331" s="293"/>
      <c r="V331" s="295"/>
    </row>
    <row r="332" spans="2:22" ht="17.45" customHeight="1">
      <c r="B332" s="410"/>
      <c r="C332" s="840" t="s">
        <v>297</v>
      </c>
      <c r="D332" s="840"/>
      <c r="E332" s="840"/>
      <c r="F332" s="286"/>
      <c r="G332" s="835" t="s">
        <v>462</v>
      </c>
      <c r="H332" s="835"/>
      <c r="I332" s="835"/>
      <c r="J332" s="835"/>
      <c r="K332" s="835"/>
      <c r="L332" s="835"/>
      <c r="M332" s="287"/>
      <c r="N332" s="836" t="s">
        <v>473</v>
      </c>
      <c r="O332" s="836"/>
      <c r="P332" s="836"/>
      <c r="Q332" s="836"/>
      <c r="R332" s="836"/>
      <c r="S332" s="836"/>
      <c r="T332" s="836"/>
      <c r="U332" s="836"/>
      <c r="V332" s="288"/>
    </row>
    <row r="333" spans="2:22" ht="17.45" customHeight="1">
      <c r="B333" s="289"/>
      <c r="C333" s="840" t="s">
        <v>298</v>
      </c>
      <c r="D333" s="840"/>
      <c r="E333" s="841" t="s">
        <v>434</v>
      </c>
      <c r="F333" s="841"/>
      <c r="G333" s="841"/>
      <c r="H333" s="841"/>
      <c r="I333" s="841"/>
      <c r="J333" s="841"/>
      <c r="K333" s="842" t="s">
        <v>299</v>
      </c>
      <c r="L333" s="842"/>
      <c r="M333" s="290"/>
      <c r="N333" s="843" t="s">
        <v>435</v>
      </c>
      <c r="O333" s="843"/>
      <c r="P333" s="843"/>
      <c r="Q333" s="290"/>
      <c r="R333" s="290"/>
      <c r="S333" s="290"/>
      <c r="T333" s="290"/>
      <c r="U333" s="290"/>
      <c r="V333" s="291"/>
    </row>
    <row r="334" spans="2:22" ht="17.45" customHeight="1">
      <c r="B334" s="292"/>
      <c r="C334" s="840"/>
      <c r="D334" s="840"/>
      <c r="E334" s="841"/>
      <c r="F334" s="841"/>
      <c r="G334" s="841"/>
      <c r="H334" s="841"/>
      <c r="I334" s="841"/>
      <c r="J334" s="841"/>
      <c r="K334" s="844" t="s">
        <v>301</v>
      </c>
      <c r="L334" s="844"/>
      <c r="M334" s="293"/>
      <c r="N334" s="845">
        <v>1</v>
      </c>
      <c r="O334" s="845"/>
      <c r="P334" s="845"/>
      <c r="Q334" s="293"/>
      <c r="R334" s="844" t="s">
        <v>302</v>
      </c>
      <c r="S334" s="844"/>
      <c r="T334" s="293"/>
      <c r="U334" s="294" t="s">
        <v>167</v>
      </c>
      <c r="V334" s="295"/>
    </row>
    <row r="335" spans="2:22" ht="17.45" customHeight="1">
      <c r="B335" s="830" t="s">
        <v>304</v>
      </c>
      <c r="C335" s="830"/>
      <c r="D335" s="831" t="s">
        <v>210</v>
      </c>
      <c r="E335" s="831"/>
      <c r="F335" s="831"/>
      <c r="G335" s="831"/>
      <c r="H335" s="831"/>
      <c r="I335" s="831"/>
      <c r="J335" s="830" t="s">
        <v>211</v>
      </c>
      <c r="K335" s="830"/>
      <c r="L335" s="830" t="s">
        <v>213</v>
      </c>
      <c r="M335" s="830"/>
      <c r="N335" s="830"/>
      <c r="O335" s="831" t="s">
        <v>305</v>
      </c>
      <c r="P335" s="831"/>
      <c r="Q335" s="831"/>
      <c r="R335" s="831"/>
      <c r="S335" s="831" t="s">
        <v>306</v>
      </c>
      <c r="T335" s="831"/>
      <c r="U335" s="831"/>
      <c r="V335" s="831"/>
    </row>
    <row r="336" spans="2:22" ht="17.45" customHeight="1">
      <c r="B336" s="341"/>
      <c r="C336" s="415" t="s">
        <v>377</v>
      </c>
      <c r="D336" s="848" t="s">
        <v>378</v>
      </c>
      <c r="E336" s="848"/>
      <c r="F336" s="848"/>
      <c r="G336" s="848"/>
      <c r="H336" s="848"/>
      <c r="I336" s="848"/>
      <c r="J336" s="849" t="s">
        <v>372</v>
      </c>
      <c r="K336" s="849"/>
      <c r="L336" s="850">
        <v>5.9172000000000001E-3</v>
      </c>
      <c r="M336" s="850"/>
      <c r="N336" s="850"/>
      <c r="O336" s="851">
        <v>180.94</v>
      </c>
      <c r="P336" s="851"/>
      <c r="Q336" s="851"/>
      <c r="R336" s="851"/>
      <c r="S336" s="852">
        <f>L336*O336</f>
        <v>1.070658168</v>
      </c>
      <c r="T336" s="852"/>
      <c r="U336" s="852"/>
      <c r="V336" s="852"/>
    </row>
    <row r="337" spans="2:22" ht="17.45" customHeight="1">
      <c r="B337" s="825"/>
      <c r="C337" s="825"/>
      <c r="D337" s="825"/>
      <c r="E337" s="825"/>
      <c r="F337" s="825"/>
      <c r="G337" s="825"/>
      <c r="H337" s="825"/>
      <c r="I337" s="826" t="s">
        <v>322</v>
      </c>
      <c r="J337" s="826"/>
      <c r="K337" s="826"/>
      <c r="L337" s="826"/>
      <c r="M337" s="826"/>
      <c r="N337" s="826"/>
      <c r="O337" s="826"/>
      <c r="P337" s="826"/>
      <c r="Q337" s="826"/>
      <c r="R337" s="826"/>
      <c r="S337" s="827">
        <f>SUM(S336)</f>
        <v>1.070658168</v>
      </c>
      <c r="T337" s="827"/>
      <c r="U337" s="827"/>
      <c r="V337" s="827"/>
    </row>
    <row r="338" spans="2:22" ht="17.45" customHeight="1">
      <c r="B338" s="828"/>
      <c r="C338" s="828"/>
      <c r="D338" s="828"/>
      <c r="E338" s="828"/>
      <c r="F338" s="828"/>
      <c r="G338" s="828"/>
      <c r="H338" s="828"/>
      <c r="I338" s="828"/>
      <c r="J338" s="828"/>
      <c r="K338" s="828"/>
      <c r="L338" s="828"/>
      <c r="M338" s="828"/>
      <c r="N338" s="828"/>
      <c r="O338" s="828"/>
      <c r="P338" s="828"/>
      <c r="Q338" s="828"/>
      <c r="R338" s="828"/>
      <c r="S338" s="828"/>
      <c r="T338" s="828"/>
      <c r="U338" s="828"/>
      <c r="V338" s="828"/>
    </row>
    <row r="339" spans="2:22" ht="17.45" customHeight="1">
      <c r="B339" s="812"/>
      <c r="C339" s="812"/>
      <c r="D339" s="812"/>
      <c r="E339" s="812"/>
      <c r="F339" s="812"/>
      <c r="G339" s="812"/>
      <c r="H339" s="812"/>
      <c r="I339" s="813" t="s">
        <v>323</v>
      </c>
      <c r="J339" s="813"/>
      <c r="K339" s="813"/>
      <c r="L339" s="813"/>
      <c r="M339" s="813"/>
      <c r="N339" s="813"/>
      <c r="O339" s="813"/>
      <c r="P339" s="813"/>
      <c r="Q339" s="813"/>
      <c r="R339" s="813"/>
      <c r="S339" s="814">
        <f>S337</f>
        <v>1.070658168</v>
      </c>
      <c r="T339" s="814"/>
      <c r="U339" s="814"/>
      <c r="V339" s="815"/>
    </row>
    <row r="340" spans="2:22" ht="17.45" customHeight="1">
      <c r="B340" s="812"/>
      <c r="C340" s="812"/>
      <c r="D340" s="812"/>
      <c r="E340" s="812"/>
      <c r="F340" s="812"/>
      <c r="G340" s="812"/>
      <c r="H340" s="813" t="s">
        <v>324</v>
      </c>
      <c r="I340" s="813"/>
      <c r="J340" s="813"/>
      <c r="K340" s="813"/>
      <c r="L340" s="813"/>
      <c r="M340" s="829">
        <v>20.7</v>
      </c>
      <c r="N340" s="829"/>
      <c r="O340" s="829"/>
      <c r="P340" s="813" t="s">
        <v>325</v>
      </c>
      <c r="Q340" s="813"/>
      <c r="R340" s="813"/>
      <c r="S340" s="814">
        <f>TRUNC(S339*M340%,2)</f>
        <v>0.22</v>
      </c>
      <c r="T340" s="814"/>
      <c r="U340" s="814"/>
      <c r="V340" s="815"/>
    </row>
    <row r="341" spans="2:22" ht="17.45" customHeight="1">
      <c r="B341" s="812"/>
      <c r="C341" s="812"/>
      <c r="D341" s="812"/>
      <c r="E341" s="812"/>
      <c r="F341" s="812"/>
      <c r="G341" s="812"/>
      <c r="H341" s="812"/>
      <c r="I341" s="813" t="s">
        <v>326</v>
      </c>
      <c r="J341" s="813"/>
      <c r="K341" s="813"/>
      <c r="L341" s="813"/>
      <c r="M341" s="813"/>
      <c r="N341" s="813"/>
      <c r="O341" s="813"/>
      <c r="P341" s="813"/>
      <c r="Q341" s="813"/>
      <c r="R341" s="813"/>
      <c r="S341" s="814">
        <f>S339+S340</f>
        <v>1.290658168</v>
      </c>
      <c r="T341" s="814"/>
      <c r="U341" s="814"/>
      <c r="V341" s="815"/>
    </row>
    <row r="342" spans="2:22" ht="144.94999999999999" customHeight="1">
      <c r="B342" s="296"/>
      <c r="V342" s="299"/>
    </row>
    <row r="343" spans="2:22" ht="144.94999999999999" customHeight="1">
      <c r="B343" s="296"/>
      <c r="V343" s="299"/>
    </row>
    <row r="344" spans="2:22" ht="144.94999999999999" customHeight="1">
      <c r="B344" s="296"/>
      <c r="V344" s="299"/>
    </row>
    <row r="345" spans="2:22" ht="107.25" customHeight="1">
      <c r="B345" s="296"/>
      <c r="V345" s="299"/>
    </row>
    <row r="346" spans="2:22" ht="17.45" customHeight="1">
      <c r="B346" s="292"/>
      <c r="C346" s="293"/>
      <c r="D346" s="300"/>
      <c r="E346" s="300"/>
      <c r="F346" s="300"/>
      <c r="G346" s="300"/>
      <c r="H346" s="300"/>
      <c r="I346" s="300"/>
      <c r="J346" s="300"/>
      <c r="K346" s="293"/>
      <c r="L346" s="293"/>
      <c r="M346" s="293"/>
      <c r="N346" s="293"/>
      <c r="O346" s="293"/>
      <c r="P346" s="293"/>
      <c r="Q346" s="293"/>
      <c r="R346" s="293"/>
      <c r="S346" s="293"/>
      <c r="T346" s="293"/>
      <c r="U346" s="293"/>
      <c r="V346" s="295"/>
    </row>
    <row r="347" spans="2:22" ht="17.45" customHeight="1">
      <c r="B347" s="410"/>
      <c r="C347" s="840" t="s">
        <v>297</v>
      </c>
      <c r="D347" s="840"/>
      <c r="E347" s="840"/>
      <c r="F347" s="286"/>
      <c r="G347" s="835" t="s">
        <v>462</v>
      </c>
      <c r="H347" s="835"/>
      <c r="I347" s="835"/>
      <c r="J347" s="835"/>
      <c r="K347" s="835"/>
      <c r="L347" s="835"/>
      <c r="M347" s="287"/>
      <c r="N347" s="836" t="s">
        <v>473</v>
      </c>
      <c r="O347" s="836"/>
      <c r="P347" s="836"/>
      <c r="Q347" s="836"/>
      <c r="R347" s="836"/>
      <c r="S347" s="836"/>
      <c r="T347" s="836"/>
      <c r="U347" s="836"/>
      <c r="V347" s="288"/>
    </row>
    <row r="348" spans="2:22" ht="17.45" customHeight="1">
      <c r="B348" s="289"/>
      <c r="C348" s="840" t="s">
        <v>298</v>
      </c>
      <c r="D348" s="840"/>
      <c r="E348" s="841" t="s">
        <v>436</v>
      </c>
      <c r="F348" s="841"/>
      <c r="G348" s="841"/>
      <c r="H348" s="841"/>
      <c r="I348" s="841"/>
      <c r="J348" s="841"/>
      <c r="K348" s="842" t="s">
        <v>299</v>
      </c>
      <c r="L348" s="842"/>
      <c r="M348" s="290"/>
      <c r="N348" s="843" t="s">
        <v>437</v>
      </c>
      <c r="O348" s="843"/>
      <c r="P348" s="843"/>
      <c r="Q348" s="290"/>
      <c r="R348" s="290"/>
      <c r="S348" s="290"/>
      <c r="T348" s="290"/>
      <c r="U348" s="290"/>
      <c r="V348" s="291"/>
    </row>
    <row r="349" spans="2:22" ht="17.45" customHeight="1">
      <c r="B349" s="292"/>
      <c r="C349" s="840"/>
      <c r="D349" s="840"/>
      <c r="E349" s="841"/>
      <c r="F349" s="841"/>
      <c r="G349" s="841"/>
      <c r="H349" s="841"/>
      <c r="I349" s="841"/>
      <c r="J349" s="841"/>
      <c r="K349" s="844" t="s">
        <v>301</v>
      </c>
      <c r="L349" s="844"/>
      <c r="M349" s="293"/>
      <c r="N349" s="845">
        <v>1</v>
      </c>
      <c r="O349" s="845"/>
      <c r="P349" s="845"/>
      <c r="Q349" s="293"/>
      <c r="R349" s="844" t="s">
        <v>302</v>
      </c>
      <c r="S349" s="844"/>
      <c r="T349" s="293"/>
      <c r="U349" s="294" t="s">
        <v>303</v>
      </c>
      <c r="V349" s="295"/>
    </row>
    <row r="350" spans="2:22" ht="17.45" customHeight="1">
      <c r="B350" s="830" t="s">
        <v>304</v>
      </c>
      <c r="C350" s="830"/>
      <c r="D350" s="831" t="s">
        <v>210</v>
      </c>
      <c r="E350" s="831"/>
      <c r="F350" s="831"/>
      <c r="G350" s="831"/>
      <c r="H350" s="831"/>
      <c r="I350" s="831"/>
      <c r="J350" s="830" t="s">
        <v>211</v>
      </c>
      <c r="K350" s="830"/>
      <c r="L350" s="830" t="s">
        <v>213</v>
      </c>
      <c r="M350" s="830"/>
      <c r="N350" s="830"/>
      <c r="O350" s="831" t="s">
        <v>305</v>
      </c>
      <c r="P350" s="831"/>
      <c r="Q350" s="831"/>
      <c r="R350" s="831"/>
      <c r="S350" s="831" t="s">
        <v>306</v>
      </c>
      <c r="T350" s="831"/>
      <c r="U350" s="831"/>
      <c r="V350" s="831"/>
    </row>
    <row r="351" spans="2:22" ht="17.45" customHeight="1">
      <c r="B351" s="338"/>
      <c r="C351" s="413">
        <v>5824</v>
      </c>
      <c r="D351" s="832" t="s">
        <v>438</v>
      </c>
      <c r="E351" s="832"/>
      <c r="F351" s="832"/>
      <c r="G351" s="832"/>
      <c r="H351" s="832"/>
      <c r="I351" s="832"/>
      <c r="J351" s="846" t="s">
        <v>372</v>
      </c>
      <c r="K351" s="846"/>
      <c r="L351" s="833">
        <v>3.333E-3</v>
      </c>
      <c r="M351" s="833"/>
      <c r="N351" s="833"/>
      <c r="O351" s="834">
        <v>171.85</v>
      </c>
      <c r="P351" s="834"/>
      <c r="Q351" s="834"/>
      <c r="R351" s="834"/>
      <c r="S351" s="847">
        <f>L351*O351</f>
        <v>0.57277604999999998</v>
      </c>
      <c r="T351" s="847"/>
      <c r="U351" s="847"/>
      <c r="V351" s="847"/>
    </row>
    <row r="352" spans="2:22" ht="17.45" customHeight="1">
      <c r="B352" s="340"/>
      <c r="C352" s="412" t="s">
        <v>312</v>
      </c>
      <c r="D352" s="816" t="s">
        <v>313</v>
      </c>
      <c r="E352" s="816"/>
      <c r="F352" s="816"/>
      <c r="G352" s="816"/>
      <c r="H352" s="816"/>
      <c r="I352" s="816"/>
      <c r="J352" s="817" t="s">
        <v>311</v>
      </c>
      <c r="K352" s="817"/>
      <c r="L352" s="818">
        <v>3.3329999999999999E-2</v>
      </c>
      <c r="M352" s="818"/>
      <c r="N352" s="818"/>
      <c r="O352" s="819">
        <v>16.829999999999998</v>
      </c>
      <c r="P352" s="819"/>
      <c r="Q352" s="819"/>
      <c r="R352" s="819"/>
      <c r="S352" s="820">
        <f t="shared" ref="S352:S357" si="11">L352*O352</f>
        <v>0.56094389999999994</v>
      </c>
      <c r="T352" s="814"/>
      <c r="U352" s="814"/>
      <c r="V352" s="815"/>
    </row>
    <row r="353" spans="2:22" ht="17.45" customHeight="1">
      <c r="B353" s="340"/>
      <c r="C353" s="412">
        <v>95133</v>
      </c>
      <c r="D353" s="816" t="s">
        <v>439</v>
      </c>
      <c r="E353" s="816"/>
      <c r="F353" s="816"/>
      <c r="G353" s="816"/>
      <c r="H353" s="816"/>
      <c r="I353" s="816"/>
      <c r="J353" s="817" t="s">
        <v>372</v>
      </c>
      <c r="K353" s="817"/>
      <c r="L353" s="818">
        <v>3.333E-3</v>
      </c>
      <c r="M353" s="818"/>
      <c r="N353" s="818"/>
      <c r="O353" s="819">
        <v>127.82</v>
      </c>
      <c r="P353" s="819"/>
      <c r="Q353" s="819"/>
      <c r="R353" s="819"/>
      <c r="S353" s="820">
        <f t="shared" si="11"/>
        <v>0.42602405999999998</v>
      </c>
      <c r="T353" s="814"/>
      <c r="U353" s="814"/>
      <c r="V353" s="815"/>
    </row>
    <row r="354" spans="2:22" ht="17.45" customHeight="1">
      <c r="B354" s="340"/>
      <c r="C354" s="412">
        <v>44478</v>
      </c>
      <c r="D354" s="816" t="s">
        <v>440</v>
      </c>
      <c r="E354" s="816"/>
      <c r="F354" s="816"/>
      <c r="G354" s="816"/>
      <c r="H354" s="816"/>
      <c r="I354" s="816"/>
      <c r="J354" s="817" t="s">
        <v>321</v>
      </c>
      <c r="K354" s="817"/>
      <c r="L354" s="818">
        <v>0.4</v>
      </c>
      <c r="M354" s="818"/>
      <c r="N354" s="818"/>
      <c r="O354" s="819">
        <v>20.25</v>
      </c>
      <c r="P354" s="819"/>
      <c r="Q354" s="819"/>
      <c r="R354" s="819"/>
      <c r="S354" s="820">
        <f t="shared" si="11"/>
        <v>8.1</v>
      </c>
      <c r="T354" s="814"/>
      <c r="U354" s="814"/>
      <c r="V354" s="815"/>
    </row>
    <row r="355" spans="2:22" ht="17.45" customHeight="1">
      <c r="B355" s="340"/>
      <c r="C355" s="412" t="s">
        <v>441</v>
      </c>
      <c r="D355" s="816" t="s">
        <v>442</v>
      </c>
      <c r="E355" s="816"/>
      <c r="F355" s="816"/>
      <c r="G355" s="816"/>
      <c r="H355" s="816"/>
      <c r="I355" s="816"/>
      <c r="J355" s="817" t="s">
        <v>443</v>
      </c>
      <c r="K355" s="817"/>
      <c r="L355" s="818">
        <v>0.13</v>
      </c>
      <c r="M355" s="818"/>
      <c r="N355" s="818"/>
      <c r="O355" s="819">
        <v>13.96</v>
      </c>
      <c r="P355" s="819"/>
      <c r="Q355" s="819"/>
      <c r="R355" s="819"/>
      <c r="S355" s="820">
        <f t="shared" si="11"/>
        <v>1.8148000000000002</v>
      </c>
      <c r="T355" s="814"/>
      <c r="U355" s="814"/>
      <c r="V355" s="815"/>
    </row>
    <row r="356" spans="2:22" ht="17.45" customHeight="1">
      <c r="B356" s="340"/>
      <c r="C356" s="412">
        <v>7343</v>
      </c>
      <c r="D356" s="816" t="s">
        <v>444</v>
      </c>
      <c r="E356" s="816"/>
      <c r="F356" s="816"/>
      <c r="G356" s="816"/>
      <c r="H356" s="816"/>
      <c r="I356" s="816"/>
      <c r="J356" s="817" t="s">
        <v>443</v>
      </c>
      <c r="K356" s="817"/>
      <c r="L356" s="818">
        <v>0.6</v>
      </c>
      <c r="M356" s="818"/>
      <c r="N356" s="818"/>
      <c r="O356" s="819">
        <v>6.99</v>
      </c>
      <c r="P356" s="819"/>
      <c r="Q356" s="819"/>
      <c r="R356" s="819"/>
      <c r="S356" s="820">
        <f t="shared" si="11"/>
        <v>4.194</v>
      </c>
      <c r="T356" s="814"/>
      <c r="U356" s="814"/>
      <c r="V356" s="815"/>
    </row>
    <row r="357" spans="2:22" ht="17.45" customHeight="1">
      <c r="B357" s="339"/>
      <c r="C357" s="411">
        <v>7348</v>
      </c>
      <c r="D357" s="821" t="s">
        <v>445</v>
      </c>
      <c r="E357" s="821"/>
      <c r="F357" s="821"/>
      <c r="G357" s="821"/>
      <c r="H357" s="821"/>
      <c r="I357" s="821"/>
      <c r="J357" s="822" t="s">
        <v>443</v>
      </c>
      <c r="K357" s="822"/>
      <c r="L357" s="823">
        <v>0.03</v>
      </c>
      <c r="M357" s="823"/>
      <c r="N357" s="823"/>
      <c r="O357" s="824">
        <v>14.72</v>
      </c>
      <c r="P357" s="824"/>
      <c r="Q357" s="824"/>
      <c r="R357" s="824"/>
      <c r="S357" s="837">
        <f t="shared" si="11"/>
        <v>0.44159999999999999</v>
      </c>
      <c r="T357" s="838"/>
      <c r="U357" s="838"/>
      <c r="V357" s="839"/>
    </row>
    <row r="358" spans="2:22" ht="17.45" customHeight="1">
      <c r="B358" s="825"/>
      <c r="C358" s="825"/>
      <c r="D358" s="825"/>
      <c r="E358" s="825"/>
      <c r="F358" s="825"/>
      <c r="G358" s="825"/>
      <c r="H358" s="825"/>
      <c r="I358" s="826" t="s">
        <v>322</v>
      </c>
      <c r="J358" s="826"/>
      <c r="K358" s="826"/>
      <c r="L358" s="826"/>
      <c r="M358" s="826"/>
      <c r="N358" s="826"/>
      <c r="O358" s="826"/>
      <c r="P358" s="826"/>
      <c r="Q358" s="826"/>
      <c r="R358" s="826"/>
      <c r="S358" s="827">
        <f>SUM(S351:V357)</f>
        <v>16.110144009999999</v>
      </c>
      <c r="T358" s="827"/>
      <c r="U358" s="827"/>
      <c r="V358" s="827"/>
    </row>
    <row r="359" spans="2:22" ht="17.45" customHeight="1">
      <c r="B359" s="828"/>
      <c r="C359" s="828"/>
      <c r="D359" s="828"/>
      <c r="E359" s="828"/>
      <c r="F359" s="828"/>
      <c r="G359" s="828"/>
      <c r="H359" s="828"/>
      <c r="I359" s="828"/>
      <c r="J359" s="828"/>
      <c r="K359" s="828"/>
      <c r="L359" s="828"/>
      <c r="M359" s="828"/>
      <c r="N359" s="828"/>
      <c r="O359" s="828"/>
      <c r="P359" s="828"/>
      <c r="Q359" s="828"/>
      <c r="R359" s="828"/>
      <c r="S359" s="828"/>
      <c r="T359" s="828"/>
      <c r="U359" s="828"/>
      <c r="V359" s="828"/>
    </row>
    <row r="360" spans="2:22" ht="17.45" customHeight="1">
      <c r="B360" s="812"/>
      <c r="C360" s="812"/>
      <c r="D360" s="812"/>
      <c r="E360" s="812"/>
      <c r="F360" s="812"/>
      <c r="G360" s="812"/>
      <c r="H360" s="812"/>
      <c r="I360" s="813" t="s">
        <v>323</v>
      </c>
      <c r="J360" s="813"/>
      <c r="K360" s="813"/>
      <c r="L360" s="813"/>
      <c r="M360" s="813"/>
      <c r="N360" s="813"/>
      <c r="O360" s="813"/>
      <c r="P360" s="813"/>
      <c r="Q360" s="813"/>
      <c r="R360" s="813"/>
      <c r="S360" s="814">
        <f>S358</f>
        <v>16.110144009999999</v>
      </c>
      <c r="T360" s="814"/>
      <c r="U360" s="814"/>
      <c r="V360" s="815"/>
    </row>
    <row r="361" spans="2:22" ht="17.45" customHeight="1">
      <c r="B361" s="812"/>
      <c r="C361" s="812"/>
      <c r="D361" s="812"/>
      <c r="E361" s="812"/>
      <c r="F361" s="812"/>
      <c r="G361" s="812"/>
      <c r="H361" s="813" t="s">
        <v>324</v>
      </c>
      <c r="I361" s="813"/>
      <c r="J361" s="813"/>
      <c r="K361" s="813"/>
      <c r="L361" s="813"/>
      <c r="M361" s="829">
        <v>20.7</v>
      </c>
      <c r="N361" s="829"/>
      <c r="O361" s="829"/>
      <c r="P361" s="813" t="s">
        <v>325</v>
      </c>
      <c r="Q361" s="813"/>
      <c r="R361" s="813"/>
      <c r="S361" s="814">
        <f>TRUNC(S360*M361%,2)</f>
        <v>3.33</v>
      </c>
      <c r="T361" s="814"/>
      <c r="U361" s="814"/>
      <c r="V361" s="815"/>
    </row>
    <row r="362" spans="2:22" ht="17.45" customHeight="1">
      <c r="B362" s="812"/>
      <c r="C362" s="812"/>
      <c r="D362" s="812"/>
      <c r="E362" s="812"/>
      <c r="F362" s="812"/>
      <c r="G362" s="812"/>
      <c r="H362" s="812"/>
      <c r="I362" s="813" t="s">
        <v>326</v>
      </c>
      <c r="J362" s="813"/>
      <c r="K362" s="813"/>
      <c r="L362" s="813"/>
      <c r="M362" s="813"/>
      <c r="N362" s="813"/>
      <c r="O362" s="813"/>
      <c r="P362" s="813"/>
      <c r="Q362" s="813"/>
      <c r="R362" s="813"/>
      <c r="S362" s="814">
        <f>S360+S361</f>
        <v>19.440144009999997</v>
      </c>
      <c r="T362" s="814"/>
      <c r="U362" s="814"/>
      <c r="V362" s="815"/>
    </row>
    <row r="363" spans="2:22" ht="144.94999999999999" customHeight="1">
      <c r="B363" s="296"/>
      <c r="V363" s="299"/>
    </row>
    <row r="364" spans="2:22" ht="144.94999999999999" customHeight="1">
      <c r="B364" s="296"/>
      <c r="V364" s="299"/>
    </row>
    <row r="365" spans="2:22" ht="144.94999999999999" customHeight="1">
      <c r="B365" s="296"/>
      <c r="V365" s="299"/>
    </row>
    <row r="366" spans="2:22" ht="17.45" customHeight="1">
      <c r="B366" s="292"/>
      <c r="C366" s="293"/>
      <c r="D366" s="300"/>
      <c r="E366" s="300"/>
      <c r="F366" s="300"/>
      <c r="G366" s="300"/>
      <c r="H366" s="300"/>
      <c r="I366" s="300"/>
      <c r="J366" s="300"/>
      <c r="K366" s="293"/>
      <c r="L366" s="293"/>
      <c r="M366" s="293"/>
      <c r="N366" s="293"/>
      <c r="O366" s="293"/>
      <c r="P366" s="293"/>
      <c r="Q366" s="293"/>
      <c r="R366" s="293"/>
      <c r="S366" s="293"/>
      <c r="T366" s="293"/>
      <c r="U366" s="293"/>
      <c r="V366" s="295"/>
    </row>
    <row r="367" spans="2:22" ht="17.45" customHeight="1">
      <c r="B367" s="410"/>
      <c r="C367" s="840" t="s">
        <v>297</v>
      </c>
      <c r="D367" s="840"/>
      <c r="E367" s="840"/>
      <c r="F367" s="286"/>
      <c r="G367" s="835" t="s">
        <v>462</v>
      </c>
      <c r="H367" s="835"/>
      <c r="I367" s="835"/>
      <c r="J367" s="835"/>
      <c r="K367" s="835"/>
      <c r="L367" s="835"/>
      <c r="M367" s="287"/>
      <c r="N367" s="836" t="s">
        <v>473</v>
      </c>
      <c r="O367" s="836"/>
      <c r="P367" s="836"/>
      <c r="Q367" s="836"/>
      <c r="R367" s="836"/>
      <c r="S367" s="836"/>
      <c r="T367" s="836"/>
      <c r="U367" s="836"/>
      <c r="V367" s="288"/>
    </row>
    <row r="368" spans="2:22" ht="17.45" customHeight="1">
      <c r="B368" s="289"/>
      <c r="C368" s="840" t="s">
        <v>298</v>
      </c>
      <c r="D368" s="840"/>
      <c r="E368" s="841" t="s">
        <v>446</v>
      </c>
      <c r="F368" s="841"/>
      <c r="G368" s="841"/>
      <c r="H368" s="841"/>
      <c r="I368" s="841"/>
      <c r="J368" s="841"/>
      <c r="K368" s="842" t="s">
        <v>299</v>
      </c>
      <c r="L368" s="842"/>
      <c r="M368" s="290"/>
      <c r="N368" s="843" t="s">
        <v>447</v>
      </c>
      <c r="O368" s="843"/>
      <c r="P368" s="843"/>
      <c r="Q368" s="290"/>
      <c r="R368" s="290"/>
      <c r="S368" s="290"/>
      <c r="T368" s="290"/>
      <c r="U368" s="290"/>
      <c r="V368" s="291"/>
    </row>
    <row r="369" spans="2:22" ht="17.45" customHeight="1">
      <c r="B369" s="292"/>
      <c r="C369" s="840"/>
      <c r="D369" s="840"/>
      <c r="E369" s="841"/>
      <c r="F369" s="841"/>
      <c r="G369" s="841"/>
      <c r="H369" s="841"/>
      <c r="I369" s="841"/>
      <c r="J369" s="841"/>
      <c r="K369" s="844" t="s">
        <v>301</v>
      </c>
      <c r="L369" s="844"/>
      <c r="M369" s="293"/>
      <c r="N369" s="845">
        <v>1</v>
      </c>
      <c r="O369" s="845"/>
      <c r="P369" s="845"/>
      <c r="Q369" s="293"/>
      <c r="R369" s="844" t="s">
        <v>302</v>
      </c>
      <c r="S369" s="844"/>
      <c r="T369" s="293"/>
      <c r="U369" s="294" t="s">
        <v>331</v>
      </c>
      <c r="V369" s="295"/>
    </row>
    <row r="370" spans="2:22" ht="17.45" customHeight="1">
      <c r="B370" s="830" t="s">
        <v>304</v>
      </c>
      <c r="C370" s="830"/>
      <c r="D370" s="831" t="s">
        <v>210</v>
      </c>
      <c r="E370" s="831"/>
      <c r="F370" s="831"/>
      <c r="G370" s="831"/>
      <c r="H370" s="831"/>
      <c r="I370" s="831"/>
      <c r="J370" s="830" t="s">
        <v>211</v>
      </c>
      <c r="K370" s="830"/>
      <c r="L370" s="830" t="s">
        <v>213</v>
      </c>
      <c r="M370" s="830"/>
      <c r="N370" s="830"/>
      <c r="O370" s="831" t="s">
        <v>305</v>
      </c>
      <c r="P370" s="831"/>
      <c r="Q370" s="831"/>
      <c r="R370" s="831"/>
      <c r="S370" s="831" t="s">
        <v>306</v>
      </c>
      <c r="T370" s="831"/>
      <c r="U370" s="831"/>
      <c r="V370" s="831"/>
    </row>
    <row r="371" spans="2:22" ht="17.45" customHeight="1">
      <c r="B371" s="338"/>
      <c r="C371" s="413" t="s">
        <v>312</v>
      </c>
      <c r="D371" s="832" t="s">
        <v>313</v>
      </c>
      <c r="E371" s="832"/>
      <c r="F371" s="832"/>
      <c r="G371" s="832"/>
      <c r="H371" s="832"/>
      <c r="I371" s="832"/>
      <c r="J371" s="846" t="s">
        <v>311</v>
      </c>
      <c r="K371" s="846"/>
      <c r="L371" s="833">
        <v>0.4</v>
      </c>
      <c r="M371" s="833"/>
      <c r="N371" s="833"/>
      <c r="O371" s="834">
        <v>16.829999999999998</v>
      </c>
      <c r="P371" s="834"/>
      <c r="Q371" s="834"/>
      <c r="R371" s="834"/>
      <c r="S371" s="847">
        <f>L371*O371</f>
        <v>6.7319999999999993</v>
      </c>
      <c r="T371" s="847"/>
      <c r="U371" s="847"/>
      <c r="V371" s="847"/>
    </row>
    <row r="372" spans="2:22" ht="17.45" customHeight="1">
      <c r="B372" s="340"/>
      <c r="C372" s="412" t="s">
        <v>448</v>
      </c>
      <c r="D372" s="816" t="s">
        <v>449</v>
      </c>
      <c r="E372" s="816"/>
      <c r="F372" s="816"/>
      <c r="G372" s="816"/>
      <c r="H372" s="816"/>
      <c r="I372" s="816"/>
      <c r="J372" s="817" t="s">
        <v>327</v>
      </c>
      <c r="K372" s="817"/>
      <c r="L372" s="818">
        <v>4</v>
      </c>
      <c r="M372" s="818"/>
      <c r="N372" s="818"/>
      <c r="O372" s="819">
        <v>0.2</v>
      </c>
      <c r="P372" s="819"/>
      <c r="Q372" s="819"/>
      <c r="R372" s="819"/>
      <c r="S372" s="820">
        <f t="shared" ref="S372:S373" si="12">L372*O372</f>
        <v>0.8</v>
      </c>
      <c r="T372" s="814"/>
      <c r="U372" s="814"/>
      <c r="V372" s="815"/>
    </row>
    <row r="373" spans="2:22" ht="17.45" customHeight="1">
      <c r="B373" s="339"/>
      <c r="C373" s="411" t="s">
        <v>450</v>
      </c>
      <c r="D373" s="821" t="s">
        <v>451</v>
      </c>
      <c r="E373" s="821"/>
      <c r="F373" s="821"/>
      <c r="G373" s="821"/>
      <c r="H373" s="821"/>
      <c r="I373" s="821"/>
      <c r="J373" s="822" t="s">
        <v>327</v>
      </c>
      <c r="K373" s="822"/>
      <c r="L373" s="823">
        <v>1</v>
      </c>
      <c r="M373" s="823"/>
      <c r="N373" s="823"/>
      <c r="O373" s="824">
        <v>74.25</v>
      </c>
      <c r="P373" s="824"/>
      <c r="Q373" s="824"/>
      <c r="R373" s="824"/>
      <c r="S373" s="837">
        <f t="shared" si="12"/>
        <v>74.25</v>
      </c>
      <c r="T373" s="838"/>
      <c r="U373" s="838"/>
      <c r="V373" s="839"/>
    </row>
    <row r="374" spans="2:22" ht="17.45" customHeight="1">
      <c r="B374" s="825"/>
      <c r="C374" s="825"/>
      <c r="D374" s="825"/>
      <c r="E374" s="825"/>
      <c r="F374" s="825"/>
      <c r="G374" s="825"/>
      <c r="H374" s="825"/>
      <c r="I374" s="826" t="s">
        <v>322</v>
      </c>
      <c r="J374" s="826"/>
      <c r="K374" s="826"/>
      <c r="L374" s="826"/>
      <c r="M374" s="826"/>
      <c r="N374" s="826"/>
      <c r="O374" s="826"/>
      <c r="P374" s="826"/>
      <c r="Q374" s="826"/>
      <c r="R374" s="826"/>
      <c r="S374" s="827">
        <f>SUM(S371:V373)</f>
        <v>81.781999999999996</v>
      </c>
      <c r="T374" s="827"/>
      <c r="U374" s="827"/>
      <c r="V374" s="827"/>
    </row>
    <row r="375" spans="2:22" ht="17.45" customHeight="1">
      <c r="B375" s="828"/>
      <c r="C375" s="828"/>
      <c r="D375" s="828"/>
      <c r="E375" s="828"/>
      <c r="F375" s="828"/>
      <c r="G375" s="828"/>
      <c r="H375" s="828"/>
      <c r="I375" s="828"/>
      <c r="J375" s="828"/>
      <c r="K375" s="828"/>
      <c r="L375" s="828"/>
      <c r="M375" s="828"/>
      <c r="N375" s="828"/>
      <c r="O375" s="828"/>
      <c r="P375" s="828"/>
      <c r="Q375" s="828"/>
      <c r="R375" s="828"/>
      <c r="S375" s="828"/>
      <c r="T375" s="828"/>
      <c r="U375" s="828"/>
      <c r="V375" s="828"/>
    </row>
    <row r="376" spans="2:22" ht="17.45" customHeight="1">
      <c r="B376" s="812"/>
      <c r="C376" s="812"/>
      <c r="D376" s="812"/>
      <c r="E376" s="812"/>
      <c r="F376" s="812"/>
      <c r="G376" s="812"/>
      <c r="H376" s="812"/>
      <c r="I376" s="813" t="s">
        <v>323</v>
      </c>
      <c r="J376" s="813"/>
      <c r="K376" s="813"/>
      <c r="L376" s="813"/>
      <c r="M376" s="813"/>
      <c r="N376" s="813"/>
      <c r="O376" s="813"/>
      <c r="P376" s="813"/>
      <c r="Q376" s="813"/>
      <c r="R376" s="813"/>
      <c r="S376" s="814">
        <f>S374</f>
        <v>81.781999999999996</v>
      </c>
      <c r="T376" s="814"/>
      <c r="U376" s="814"/>
      <c r="V376" s="815"/>
    </row>
    <row r="377" spans="2:22" ht="17.45" customHeight="1">
      <c r="B377" s="812"/>
      <c r="C377" s="812"/>
      <c r="D377" s="812"/>
      <c r="E377" s="812"/>
      <c r="F377" s="812"/>
      <c r="G377" s="812"/>
      <c r="H377" s="813" t="s">
        <v>324</v>
      </c>
      <c r="I377" s="813"/>
      <c r="J377" s="813"/>
      <c r="K377" s="813"/>
      <c r="L377" s="813"/>
      <c r="M377" s="829">
        <v>20.7</v>
      </c>
      <c r="N377" s="829"/>
      <c r="O377" s="829"/>
      <c r="P377" s="813" t="s">
        <v>325</v>
      </c>
      <c r="Q377" s="813"/>
      <c r="R377" s="813"/>
      <c r="S377" s="814">
        <f>TRUNC(S376*M377%,2)</f>
        <v>16.920000000000002</v>
      </c>
      <c r="T377" s="814"/>
      <c r="U377" s="814"/>
      <c r="V377" s="815"/>
    </row>
    <row r="378" spans="2:22" ht="17.45" customHeight="1">
      <c r="B378" s="812"/>
      <c r="C378" s="812"/>
      <c r="D378" s="812"/>
      <c r="E378" s="812"/>
      <c r="F378" s="812"/>
      <c r="G378" s="812"/>
      <c r="H378" s="812"/>
      <c r="I378" s="813" t="s">
        <v>326</v>
      </c>
      <c r="J378" s="813"/>
      <c r="K378" s="813"/>
      <c r="L378" s="813"/>
      <c r="M378" s="813"/>
      <c r="N378" s="813"/>
      <c r="O378" s="813"/>
      <c r="P378" s="813"/>
      <c r="Q378" s="813"/>
      <c r="R378" s="813"/>
      <c r="S378" s="814">
        <f>S376+S377</f>
        <v>98.701999999999998</v>
      </c>
      <c r="T378" s="814"/>
      <c r="U378" s="814"/>
      <c r="V378" s="815"/>
    </row>
    <row r="379" spans="2:22" ht="144.94999999999999" customHeight="1">
      <c r="B379" s="296"/>
      <c r="V379" s="299"/>
    </row>
    <row r="380" spans="2:22" ht="144.94999999999999" customHeight="1">
      <c r="B380" s="296"/>
      <c r="V380" s="299"/>
    </row>
    <row r="381" spans="2:22" ht="212.25" customHeight="1">
      <c r="B381" s="296"/>
      <c r="V381" s="299"/>
    </row>
    <row r="382" spans="2:22" ht="17.45" customHeight="1">
      <c r="B382" s="292"/>
      <c r="C382" s="293"/>
      <c r="D382" s="300"/>
      <c r="E382" s="300"/>
      <c r="F382" s="300"/>
      <c r="G382" s="300"/>
      <c r="H382" s="300"/>
      <c r="I382" s="300"/>
      <c r="J382" s="300"/>
      <c r="K382" s="293"/>
      <c r="L382" s="293"/>
      <c r="M382" s="293"/>
      <c r="N382" s="293"/>
      <c r="O382" s="293"/>
      <c r="P382" s="293"/>
      <c r="Q382" s="293"/>
      <c r="R382" s="293"/>
      <c r="S382" s="293"/>
      <c r="T382" s="293"/>
      <c r="U382" s="293"/>
      <c r="V382" s="295"/>
    </row>
  </sheetData>
  <mergeCells count="1200"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B250:H250"/>
    <mergeCell ref="I250:R250"/>
    <mergeCell ref="S250:V250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5:I245"/>
    <mergeCell ref="J245:K245"/>
    <mergeCell ref="L245:N245"/>
    <mergeCell ref="O245:R245"/>
    <mergeCell ref="S245:V245"/>
    <mergeCell ref="B246:H246"/>
    <mergeCell ref="I246:R246"/>
    <mergeCell ref="S246:V246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R231:S231"/>
    <mergeCell ref="B232:C232"/>
    <mergeCell ref="D232:I232"/>
    <mergeCell ref="J232:K232"/>
    <mergeCell ref="L232:N232"/>
    <mergeCell ref="O232:R232"/>
    <mergeCell ref="S232:V232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N2:U2"/>
    <mergeCell ref="C3:D4"/>
    <mergeCell ref="E3:J4"/>
    <mergeCell ref="K3:L3"/>
    <mergeCell ref="N3:P3"/>
    <mergeCell ref="K4:L4"/>
    <mergeCell ref="N4:P4"/>
    <mergeCell ref="R4:S4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B225:H225"/>
    <mergeCell ref="I225:R225"/>
    <mergeCell ref="S225:V225"/>
    <mergeCell ref="C254:E254"/>
    <mergeCell ref="G254:L254"/>
    <mergeCell ref="N254:U254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C229:E229"/>
    <mergeCell ref="G229:L229"/>
    <mergeCell ref="N229:U229"/>
    <mergeCell ref="C230:D231"/>
    <mergeCell ref="E230:J231"/>
    <mergeCell ref="K230:L230"/>
    <mergeCell ref="N230:P230"/>
    <mergeCell ref="K231:L231"/>
    <mergeCell ref="N231:P23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B378:H378"/>
    <mergeCell ref="I378:R378"/>
    <mergeCell ref="S378:V378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101" orientation="portrait" r:id="rId1"/>
  <ignoredErrors>
    <ignoredError sqref="B5:V5 B23:V25 B22:F22 O22:V22 B58:V60 B57:F57 O57:V57 B78:V80 B77:F77 O77:V77 B99:V101 B98:F98 O98:V98 B120:V122 B119:F119 O119:V119 B136:V138 B135:F135 O135:V135 B152:V154 B151:F151 O151:V151 B168:V170 B167:F167 O167:V167 B184:V186 B183:F183 O183:V183 B205:V207 B204:F204 O204:V204 B230:V232 B229:F229 O229:V229 B255:V257 B254:F254 O254:V254 B276:V278 B275:F275 O275:V275 B294:V296 B293:F293 O293:V293 B318:V320 B317:F317 O317:V317 B333:V335 B332:F332 O332:V332 B348:V350 B347:F347 O347:V347 B368:V370 B367:F367 O367:V367 B53:V56 B14:V14 B6:N6 P6:R6 B7 D7:N7 P7:R7 B8 D8:N8 P8:R8 B142:V142 B140:N140 P140:R140 B158:V158 B156:N156 P156:R156 B174:V174 B172:N172 P172:R172 B196:V196 B192:N192 P192:R192 B222:V222 B215:N215 P215:R215 B247:V247 B240:N240 P240:R240 B261 B260:N260 P260:R260 B285:V285 B279:N279 P279:R279 B354 B352:N352 P352:R352 B375:V375 B371:N371 P371:R371 B28:V28 B26 D26:N26 B126:V126 B123 D123:N123 P123:R123 B124 D124:N124 P124:R124 B139:N139 P139:R139 B191 B189:N189 P189:R189 B214:N214 B212:N212 P212:R212 B239:N239 B237:N237 P237:R237 B155 D155:N155 P155:R155 B171:N171 P171:R171 B188:N188 B187 D187:N187 P187:R187 B211:N211 B208:N208 P208:R208 B236:N236 B233:N233 P233:R233 P188:R188 B209:N209 P209:R209 B234:N234 P234:R234 B190:N190 P190:R190 B213:N213 P213:R213 B238:N238 P238:R238 D191:N191 P191:R191 B193 D193:N193 P193:R193 B194 D194:N194 P194:R194 B210 D210:N210 P210:R210 P211:R211 P214:R214 P239:R239 B216:N216 P216:R216 B217:N217 P217:R217 B241:N241 P241:R241 B267:V267 B262:N262 P262:R262 B242:N242 P242:R242 B263:N263 P263:R263 B218 D218:N218 P218:R218 B243:N243 P243:R243 B219:N219 P219:R219 B244:N244 P244:R244 B309:V309 B305:N305 P305:R305 B220:N220 P220:R220 B245:N245 P245:R245 B306:N306 P306:R306 B235 D235:N235 P235:R235 P236:R236 B259:N259 B258:N258 P258:R258 P259:R259 D261:N261 P261:R261 B280:N280 P280:R280 B264:N264 P264:R264 B281:N281 P281:R281 B282:N282 P282:R282 B304 B297 D297:N297 P297:R297 B298:N298 P298:R298 B299:N299 P299:R299 B300 D300:N300 P300:R300 B338:V338 B336:N336 P336:R336 B301 D301:N301 P301:R301 B302:N302 P302:R302 B303:N303 P303:R303 D304:N304 P304:R304 B307 D307:N307 B323:V323 B321 D321:N321 P321:R321 B351 D351:N351 P351:R351 B353 D353:N353 P353:R353 B359:V359 B356 D356:N356 B357 D357:N357 T6:V6 B11:R11 B13:R13 T13:V13 B18:V21 B15:R15 T15:V15 B16:R16 T16:V16 B17:R17 T17:V17 T26:V26 B27:R27 T27:V27 B32:V36 B29:R29 B30:R31 B73:V76 B70:R72 B94:V97 B91:R93 B115:V118 B112:R114 B130:V134 B127:R129 B146:V150 B143:R145 B162:V166 B159:R161 B178:V182 B175:R177 B200:V203 B197:R199 B226:V228 B223:R225 B251:V253 B248:R250 B271:V274 B268:R270 B289:V292 B286:R288 B313:V316 B310:R312 B327:V331 B324:R326 B342:V346 B339:R341 B363:V366 B360:R362 B379:V382 B376:R378 B69:V69 B61:N61 T61:V61 B67:N67 B68:R68 T68:V68 B90:V90 B81:N81 T81:V81 B88:N88 B89:R89 T89:V89 B111:V111 B102:N102 T102:V102 B109:N109 B110:R110 T110:V110 T123:V123 B125:R125 T125:V125 T139:V139 B141:R141 T141:V141 T155:V155 B157:R157 T157:V157 T171:V171 B173:R173 T173:V173 T187:V187 B195:R195 T195:V195 T208:V208 B221:R221 T221:V221 T233:V233 B246:R246 T246:V246 T258:V258 B265:N265 B266:R266 T266:V266 T279:V279 B283:N283 B284:R284 T284:V284 T297:V297 B308:R308 T308:V308 T321:V321 B322:R322 T322:V322 T336:V336 B337:R337 T337:V337 T351:V351 B358:R358 T358:V358 T371:V371 B373:R373 B374:R374 T374:V374 P61:R61 B62:N62 P62:R62 B63:N63 P63:R63 B64:N64 P64:R64 B65:N65 P65:R65 B66:N66 P66:R66 P67:R67 P81:R81 B82:N82 P82:R82 B83:N83 P83:R83 B84:N84 P84:R84 B85:N85 P85:R85 B86:N86 P86:R86 B87:N87 P87:R87 P88:R88 P102:R102 B103:N103 P103:R103 B104:N104 P104:R104 B105:N105 P105:R105 B106:N106 P106:R106 B107:N107 P107:R107 B108:N108 P108:R108 P109:R109 H22:M22 H57:M57 H77:M77 H98:M98 H119:M119 H135:M135 H151:M151 H167:M167 H183:M183 H204:M204 H229:M229 H254:M254 H275:M275 H293:M293 H317:M317 H332:M332 H347:M347 H367:M367 B9:C9 E9:N9 P9:R9 B10 D10:N10 P10:R10 B12 D12:N12 P12:R12 P26:R26 P265:R265 P283:R283 P307:R307 B355:N355 P355:R355 P356:R356 P357:R357 D354:N354 P354:R354 B372:N372 P372:R37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L27"/>
  <sheetViews>
    <sheetView zoomScale="115" zoomScaleNormal="115" workbookViewId="0">
      <selection activeCell="L35" sqref="L35"/>
    </sheetView>
  </sheetViews>
  <sheetFormatPr defaultColWidth="9.140625" defaultRowHeight="12.75"/>
  <cols>
    <col min="1" max="1" width="8.140625" style="305" customWidth="1"/>
    <col min="2" max="2" width="13.85546875" style="305" customWidth="1"/>
    <col min="3" max="3" width="16" style="305" customWidth="1"/>
    <col min="4" max="4" width="10" style="305" bestFit="1" customWidth="1"/>
    <col min="5" max="5" width="15.42578125" style="305" customWidth="1"/>
    <col min="6" max="6" width="8.28515625" style="305" customWidth="1"/>
    <col min="7" max="7" width="6.7109375" style="305" bestFit="1" customWidth="1"/>
    <col min="8" max="8" width="1" style="305" customWidth="1"/>
    <col min="9" max="9" width="18.140625" style="305" customWidth="1"/>
    <col min="10" max="10" width="12.7109375" style="305" customWidth="1"/>
    <col min="11" max="11" width="5.7109375" style="305" customWidth="1"/>
    <col min="12" max="16384" width="9.140625" style="46"/>
  </cols>
  <sheetData>
    <row r="1" spans="1:12">
      <c r="C1" s="306"/>
    </row>
    <row r="2" spans="1:12">
      <c r="B2" s="308" t="s">
        <v>276</v>
      </c>
      <c r="C2" s="308"/>
      <c r="D2" s="308"/>
      <c r="E2" s="308"/>
      <c r="F2" s="308"/>
      <c r="G2" s="308"/>
      <c r="H2" s="308"/>
      <c r="I2" s="308"/>
      <c r="J2" s="308"/>
      <c r="K2" s="309"/>
      <c r="L2" s="310"/>
    </row>
    <row r="3" spans="1:12">
      <c r="B3" s="308"/>
      <c r="C3" s="308"/>
      <c r="D3" s="308"/>
      <c r="E3" s="308"/>
      <c r="F3" s="308"/>
      <c r="G3" s="308"/>
      <c r="H3" s="308"/>
      <c r="I3" s="308"/>
      <c r="J3" s="308"/>
      <c r="K3" s="309"/>
      <c r="L3" s="310"/>
    </row>
    <row r="4" spans="1:12">
      <c r="B4" s="308" t="s">
        <v>277</v>
      </c>
      <c r="C4" s="311"/>
      <c r="D4" s="309" t="s">
        <v>278</v>
      </c>
      <c r="E4" s="312" t="s">
        <v>279</v>
      </c>
      <c r="F4" s="311"/>
      <c r="G4" s="311"/>
      <c r="H4" s="311"/>
      <c r="I4" s="309"/>
      <c r="J4" s="309"/>
      <c r="K4" s="309"/>
      <c r="L4" s="310"/>
    </row>
    <row r="5" spans="1:12">
      <c r="B5" s="308"/>
      <c r="C5" s="311"/>
      <c r="D5" s="309"/>
      <c r="E5" s="312" t="s">
        <v>280</v>
      </c>
      <c r="F5" s="311"/>
      <c r="G5" s="311"/>
      <c r="H5" s="311"/>
      <c r="I5" s="309"/>
      <c r="J5" s="309"/>
      <c r="K5" s="309"/>
      <c r="L5" s="310"/>
    </row>
    <row r="6" spans="1:12">
      <c r="B6" s="309"/>
      <c r="C6" s="313"/>
      <c r="D6" s="309"/>
      <c r="E6" s="309"/>
      <c r="F6" s="309"/>
      <c r="G6" s="309"/>
      <c r="H6" s="309"/>
      <c r="I6" s="309"/>
      <c r="J6" s="309"/>
      <c r="K6" s="314"/>
      <c r="L6" s="310"/>
    </row>
    <row r="7" spans="1:12">
      <c r="B7" s="315" t="s">
        <v>281</v>
      </c>
      <c r="C7" s="316" t="s">
        <v>285</v>
      </c>
      <c r="D7" s="316"/>
      <c r="E7" s="316" t="s">
        <v>457</v>
      </c>
      <c r="F7" s="317"/>
      <c r="G7" s="317"/>
      <c r="H7" s="318"/>
      <c r="I7" s="319" t="s">
        <v>282</v>
      </c>
      <c r="J7" s="309"/>
      <c r="K7" s="314"/>
      <c r="L7" s="310"/>
    </row>
    <row r="8" spans="1:12">
      <c r="B8" s="320" t="s">
        <v>283</v>
      </c>
      <c r="C8" s="321">
        <v>340.976</v>
      </c>
      <c r="D8" s="321"/>
      <c r="E8" s="321">
        <v>456.17099999999999</v>
      </c>
      <c r="F8" s="322"/>
      <c r="G8" s="322"/>
      <c r="H8" s="323"/>
      <c r="I8" s="324">
        <f>TRUNC((E8-C8)/C8+1,4)</f>
        <v>1.3378000000000001</v>
      </c>
      <c r="J8" s="309"/>
      <c r="K8" s="314"/>
      <c r="L8" s="310"/>
    </row>
    <row r="9" spans="1:12">
      <c r="B9" s="325"/>
      <c r="C9" s="326"/>
      <c r="D9" s="326"/>
      <c r="E9" s="326"/>
      <c r="F9" s="327"/>
      <c r="G9" s="326"/>
      <c r="H9" s="326"/>
      <c r="I9" s="328"/>
      <c r="J9" s="309"/>
      <c r="K9" s="314"/>
      <c r="L9" s="310"/>
    </row>
    <row r="10" spans="1:12">
      <c r="B10" s="325"/>
      <c r="C10" s="326"/>
      <c r="D10" s="326"/>
      <c r="E10" s="326"/>
      <c r="F10" s="326"/>
      <c r="G10" s="326"/>
      <c r="H10" s="326"/>
      <c r="I10" s="328"/>
      <c r="J10" s="309"/>
      <c r="K10" s="314"/>
      <c r="L10" s="310"/>
    </row>
    <row r="11" spans="1:12">
      <c r="A11" s="307"/>
      <c r="B11" s="329" t="s">
        <v>284</v>
      </c>
      <c r="C11" s="330"/>
      <c r="D11" s="330"/>
      <c r="E11" s="330"/>
      <c r="F11" s="330"/>
      <c r="G11" s="330"/>
      <c r="H11" s="330"/>
      <c r="I11" s="331">
        <f>I8</f>
        <v>1.3378000000000001</v>
      </c>
      <c r="J11" s="332"/>
      <c r="K11" s="333"/>
      <c r="L11" s="310"/>
    </row>
    <row r="12" spans="1:12">
      <c r="A12" s="307"/>
      <c r="B12" s="333"/>
      <c r="C12" s="334"/>
      <c r="D12" s="334"/>
      <c r="E12" s="334"/>
      <c r="F12" s="334"/>
      <c r="G12" s="334"/>
      <c r="H12" s="334"/>
      <c r="I12" s="335"/>
      <c r="J12" s="332"/>
      <c r="K12" s="333"/>
      <c r="L12" s="310"/>
    </row>
    <row r="13" spans="1:12">
      <c r="A13" s="307"/>
      <c r="B13" s="329" t="s">
        <v>286</v>
      </c>
      <c r="C13" s="330"/>
      <c r="D13" s="330"/>
      <c r="E13" s="330"/>
      <c r="F13" s="330"/>
      <c r="G13" s="330"/>
      <c r="H13" s="330"/>
      <c r="I13" s="336">
        <v>121.06</v>
      </c>
      <c r="J13" s="336">
        <f>ROUND(I13*$I$11,2)</f>
        <v>161.94999999999999</v>
      </c>
      <c r="K13" s="337" t="s">
        <v>287</v>
      </c>
      <c r="L13" s="310"/>
    </row>
    <row r="14" spans="1:12">
      <c r="A14" s="307"/>
      <c r="B14" s="333"/>
      <c r="C14" s="334"/>
      <c r="D14" s="334"/>
      <c r="E14" s="334"/>
      <c r="F14" s="334"/>
      <c r="G14" s="334"/>
      <c r="H14" s="334"/>
      <c r="I14" s="335"/>
      <c r="J14" s="332"/>
      <c r="K14" s="337"/>
      <c r="L14" s="310"/>
    </row>
    <row r="15" spans="1:12">
      <c r="A15" s="307"/>
      <c r="B15" s="329" t="s">
        <v>286</v>
      </c>
      <c r="C15" s="330"/>
      <c r="D15" s="330"/>
      <c r="E15" s="330"/>
      <c r="F15" s="330"/>
      <c r="G15" s="330"/>
      <c r="H15" s="330"/>
      <c r="I15" s="336">
        <v>75.67</v>
      </c>
      <c r="J15" s="336">
        <f>ROUND(I15*$I$11,2)</f>
        <v>101.23</v>
      </c>
      <c r="K15" s="337" t="s">
        <v>288</v>
      </c>
      <c r="L15" s="310"/>
    </row>
    <row r="16" spans="1:12">
      <c r="A16" s="307"/>
      <c r="B16" s="333"/>
      <c r="C16" s="334"/>
      <c r="D16" s="334"/>
      <c r="E16" s="334"/>
      <c r="F16" s="334"/>
      <c r="G16" s="334"/>
      <c r="H16" s="334"/>
      <c r="I16" s="335"/>
      <c r="J16" s="332"/>
      <c r="K16" s="337"/>
      <c r="L16" s="310"/>
    </row>
    <row r="17" spans="2:12">
      <c r="B17" s="329" t="s">
        <v>286</v>
      </c>
      <c r="C17" s="330"/>
      <c r="D17" s="330"/>
      <c r="E17" s="330"/>
      <c r="F17" s="330"/>
      <c r="G17" s="330"/>
      <c r="H17" s="330"/>
      <c r="I17" s="336">
        <v>68.09</v>
      </c>
      <c r="J17" s="336">
        <f>ROUND(I17*$I$11,2)</f>
        <v>91.09</v>
      </c>
      <c r="K17" s="337" t="s">
        <v>289</v>
      </c>
      <c r="L17" s="310"/>
    </row>
    <row r="18" spans="2:12">
      <c r="B18" s="325"/>
      <c r="C18" s="326"/>
      <c r="D18" s="326"/>
      <c r="E18" s="326"/>
      <c r="F18" s="326"/>
      <c r="G18" s="326"/>
      <c r="H18" s="326"/>
      <c r="I18" s="328"/>
      <c r="J18" s="309"/>
      <c r="K18" s="337"/>
      <c r="L18" s="310"/>
    </row>
    <row r="19" spans="2:12">
      <c r="B19" s="329" t="s">
        <v>286</v>
      </c>
      <c r="C19" s="330"/>
      <c r="D19" s="330"/>
      <c r="E19" s="330"/>
      <c r="F19" s="330"/>
      <c r="G19" s="330"/>
      <c r="H19" s="330"/>
      <c r="I19" s="336">
        <v>143.76</v>
      </c>
      <c r="J19" s="336">
        <f>ROUND(I19*$I$11,2)</f>
        <v>192.32</v>
      </c>
      <c r="K19" s="337" t="s">
        <v>290</v>
      </c>
      <c r="L19" s="310"/>
    </row>
    <row r="20" spans="2:12">
      <c r="B20" s="309"/>
      <c r="C20" s="309"/>
      <c r="D20" s="309"/>
      <c r="E20" s="309"/>
      <c r="F20" s="309"/>
      <c r="G20" s="309"/>
      <c r="H20" s="309"/>
      <c r="I20" s="309"/>
      <c r="J20" s="309"/>
      <c r="K20" s="337"/>
      <c r="L20" s="310"/>
    </row>
    <row r="21" spans="2:12">
      <c r="B21" s="329" t="s">
        <v>286</v>
      </c>
      <c r="C21" s="330"/>
      <c r="D21" s="330"/>
      <c r="E21" s="330"/>
      <c r="F21" s="330"/>
      <c r="G21" s="330"/>
      <c r="H21" s="330"/>
      <c r="I21" s="336">
        <v>60.52</v>
      </c>
      <c r="J21" s="336">
        <f>ROUND(I21*$I$11,2)</f>
        <v>80.959999999999994</v>
      </c>
      <c r="K21" s="337" t="s">
        <v>291</v>
      </c>
      <c r="L21" s="310"/>
    </row>
    <row r="22" spans="2:12">
      <c r="B22" s="309"/>
      <c r="C22" s="309"/>
      <c r="D22" s="309"/>
      <c r="E22" s="309"/>
      <c r="F22" s="309"/>
      <c r="G22" s="309"/>
      <c r="H22" s="309"/>
      <c r="I22" s="309"/>
      <c r="J22" s="309"/>
      <c r="K22" s="337"/>
      <c r="L22" s="310"/>
    </row>
    <row r="23" spans="2:12">
      <c r="B23" s="329" t="s">
        <v>286</v>
      </c>
      <c r="C23" s="330"/>
      <c r="D23" s="330"/>
      <c r="E23" s="330"/>
      <c r="F23" s="330"/>
      <c r="G23" s="330"/>
      <c r="H23" s="330"/>
      <c r="I23" s="336">
        <v>174.03</v>
      </c>
      <c r="J23" s="336">
        <f>ROUND(I23*$I$11,2)</f>
        <v>232.82</v>
      </c>
      <c r="K23" s="337" t="s">
        <v>292</v>
      </c>
      <c r="L23" s="310"/>
    </row>
    <row r="24" spans="2:12">
      <c r="B24" s="309"/>
      <c r="C24" s="309"/>
      <c r="D24" s="309"/>
      <c r="E24" s="309"/>
      <c r="F24" s="309"/>
      <c r="G24" s="309"/>
      <c r="H24" s="309"/>
      <c r="I24" s="309"/>
      <c r="J24" s="309"/>
      <c r="K24" s="337"/>
      <c r="L24" s="310"/>
    </row>
    <row r="25" spans="2:12">
      <c r="B25" s="329" t="s">
        <v>286</v>
      </c>
      <c r="C25" s="330"/>
      <c r="D25" s="330"/>
      <c r="E25" s="330"/>
      <c r="F25" s="330"/>
      <c r="G25" s="330"/>
      <c r="H25" s="330"/>
      <c r="I25" s="336">
        <v>45.39</v>
      </c>
      <c r="J25" s="336">
        <f>ROUND(I25*$I$11,2)</f>
        <v>60.72</v>
      </c>
      <c r="K25" s="337" t="s">
        <v>293</v>
      </c>
      <c r="L25" s="310"/>
    </row>
    <row r="26" spans="2:12"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10"/>
    </row>
    <row r="27" spans="2:12">
      <c r="B27" s="329" t="s">
        <v>286</v>
      </c>
      <c r="C27" s="330"/>
      <c r="D27" s="330"/>
      <c r="E27" s="330"/>
      <c r="F27" s="330"/>
      <c r="G27" s="330"/>
      <c r="H27" s="330"/>
      <c r="I27" s="336">
        <v>68.09</v>
      </c>
      <c r="J27" s="336">
        <f>ROUND(I27*$I$11,2)</f>
        <v>91.09</v>
      </c>
      <c r="K27" s="309" t="s">
        <v>294</v>
      </c>
      <c r="L27" s="31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M60"/>
  <sheetViews>
    <sheetView topLeftCell="A40" zoomScale="115" zoomScaleNormal="115" zoomScaleSheetLayoutView="100" workbookViewId="0">
      <selection activeCell="I52" sqref="I52"/>
    </sheetView>
  </sheetViews>
  <sheetFormatPr defaultColWidth="9.140625" defaultRowHeight="12.75"/>
  <cols>
    <col min="1" max="1" width="3.85546875" style="46" customWidth="1"/>
    <col min="2" max="2" width="8.28515625" style="46" customWidth="1"/>
    <col min="3" max="3" width="14.7109375" style="243" customWidth="1"/>
    <col min="4" max="4" width="14.7109375" style="46" customWidth="1"/>
    <col min="5" max="5" width="79.42578125" style="46" customWidth="1"/>
    <col min="6" max="6" width="9.5703125" style="46" customWidth="1"/>
    <col min="7" max="7" width="14.7109375" style="46" customWidth="1"/>
    <col min="8" max="8" width="10.5703125" style="46" bestFit="1" customWidth="1"/>
    <col min="9" max="16384" width="9.140625" style="46"/>
  </cols>
  <sheetData>
    <row r="1" spans="2:10" ht="19.5" customHeight="1" thickBot="1"/>
    <row r="2" spans="2:10" ht="25.5" customHeight="1">
      <c r="B2" s="487" t="s">
        <v>96</v>
      </c>
      <c r="C2" s="488"/>
      <c r="D2" s="488"/>
      <c r="E2" s="488"/>
      <c r="F2" s="488"/>
      <c r="G2" s="485" t="s">
        <v>45</v>
      </c>
    </row>
    <row r="3" spans="2:10" ht="24" customHeight="1">
      <c r="B3" s="489" t="str">
        <f>RESUMO!B48</f>
        <v>BAIRRO</v>
      </c>
      <c r="C3" s="490"/>
      <c r="D3" s="491" t="str">
        <f>RESUMO!C48</f>
        <v>PARQUE DEL REY</v>
      </c>
      <c r="E3" s="492"/>
      <c r="F3" s="493"/>
      <c r="G3" s="486"/>
    </row>
    <row r="4" spans="2:10" ht="19.5" customHeight="1">
      <c r="B4" s="499" t="str">
        <f>RESUMO!B49</f>
        <v>LOGRADOUROS</v>
      </c>
      <c r="C4" s="496"/>
      <c r="D4" s="494" t="str">
        <f>RESUMO!C49</f>
        <v>RUA C, RUA, E, RUA F, RUA J E RUA MONSIEUR</v>
      </c>
      <c r="E4" s="495"/>
      <c r="F4" s="496"/>
      <c r="G4" s="500">
        <f>RESUMO!D45</f>
        <v>5754</v>
      </c>
    </row>
    <row r="5" spans="2:10" ht="22.5" customHeight="1">
      <c r="B5" s="482"/>
      <c r="C5" s="498"/>
      <c r="D5" s="497"/>
      <c r="E5" s="483"/>
      <c r="F5" s="498"/>
      <c r="G5" s="501"/>
    </row>
    <row r="6" spans="2:10" ht="22.5" customHeight="1">
      <c r="B6" s="482" t="s">
        <v>185</v>
      </c>
      <c r="C6" s="483"/>
      <c r="D6" s="483"/>
      <c r="E6" s="483"/>
      <c r="F6" s="483"/>
      <c r="G6" s="484"/>
    </row>
    <row r="7" spans="2:10" s="244" customFormat="1" ht="24.95" customHeight="1">
      <c r="B7" s="245" t="s">
        <v>36</v>
      </c>
      <c r="C7" s="236" t="s">
        <v>16</v>
      </c>
      <c r="D7" s="234" t="s">
        <v>164</v>
      </c>
      <c r="E7" s="234" t="s">
        <v>0</v>
      </c>
      <c r="F7" s="234" t="s">
        <v>1</v>
      </c>
      <c r="G7" s="246" t="s">
        <v>2</v>
      </c>
    </row>
    <row r="8" spans="2:10" ht="24.95" customHeight="1">
      <c r="B8" s="245" t="s">
        <v>49</v>
      </c>
      <c r="C8" s="236" t="s">
        <v>206</v>
      </c>
      <c r="D8" s="247"/>
      <c r="E8" s="248" t="s">
        <v>30</v>
      </c>
      <c r="F8" s="189"/>
      <c r="G8" s="249"/>
    </row>
    <row r="9" spans="2:10" ht="24.95" customHeight="1">
      <c r="B9" s="250" t="s">
        <v>50</v>
      </c>
      <c r="C9" s="277" t="s">
        <v>274</v>
      </c>
      <c r="D9" s="251" t="s">
        <v>252</v>
      </c>
      <c r="E9" s="179" t="s">
        <v>147</v>
      </c>
      <c r="F9" s="251" t="s">
        <v>6</v>
      </c>
      <c r="G9" s="178">
        <v>12</v>
      </c>
    </row>
    <row r="10" spans="2:10" ht="24.95" customHeight="1">
      <c r="B10" s="250" t="s">
        <v>51</v>
      </c>
      <c r="C10" s="251">
        <v>93584</v>
      </c>
      <c r="D10" s="251" t="s">
        <v>165</v>
      </c>
      <c r="E10" s="179" t="s">
        <v>152</v>
      </c>
      <c r="F10" s="251" t="s">
        <v>6</v>
      </c>
      <c r="G10" s="252">
        <v>30</v>
      </c>
    </row>
    <row r="11" spans="2:10" ht="24.95" customHeight="1">
      <c r="B11" s="253" t="s">
        <v>89</v>
      </c>
      <c r="C11" s="277" t="s">
        <v>275</v>
      </c>
      <c r="D11" s="251" t="s">
        <v>252</v>
      </c>
      <c r="E11" s="254" t="s">
        <v>53</v>
      </c>
      <c r="F11" s="251" t="s">
        <v>54</v>
      </c>
      <c r="G11" s="178">
        <v>6</v>
      </c>
    </row>
    <row r="12" spans="2:10" ht="24.95" customHeight="1">
      <c r="B12" s="253" t="s">
        <v>135</v>
      </c>
      <c r="C12" s="251">
        <v>5213417</v>
      </c>
      <c r="D12" s="251" t="s">
        <v>241</v>
      </c>
      <c r="E12" s="179" t="s">
        <v>162</v>
      </c>
      <c r="F12" s="251" t="s">
        <v>6</v>
      </c>
      <c r="G12" s="252">
        <v>20</v>
      </c>
    </row>
    <row r="13" spans="2:10" ht="24.95" customHeight="1">
      <c r="B13" s="250"/>
      <c r="C13" s="251"/>
      <c r="D13" s="251"/>
      <c r="E13" s="251"/>
      <c r="F13" s="189"/>
      <c r="G13" s="178"/>
    </row>
    <row r="14" spans="2:10" ht="24.95" customHeight="1">
      <c r="B14" s="245" t="s">
        <v>37</v>
      </c>
      <c r="C14" s="236" t="s">
        <v>27</v>
      </c>
      <c r="D14" s="251"/>
      <c r="E14" s="248" t="s">
        <v>151</v>
      </c>
      <c r="F14" s="251"/>
      <c r="G14" s="252"/>
    </row>
    <row r="15" spans="2:10" ht="24.95" customHeight="1">
      <c r="B15" s="250" t="s">
        <v>48</v>
      </c>
      <c r="C15" s="277" t="s">
        <v>254</v>
      </c>
      <c r="D15" s="251" t="s">
        <v>252</v>
      </c>
      <c r="E15" s="179" t="s">
        <v>253</v>
      </c>
      <c r="F15" s="189" t="s">
        <v>8</v>
      </c>
      <c r="G15" s="252">
        <v>1</v>
      </c>
      <c r="H15" s="255"/>
      <c r="J15" s="256"/>
    </row>
    <row r="16" spans="2:10" ht="24.95" customHeight="1">
      <c r="B16" s="253"/>
      <c r="C16" s="251"/>
      <c r="D16" s="251"/>
      <c r="E16" s="179"/>
      <c r="F16" s="257"/>
      <c r="G16" s="178"/>
    </row>
    <row r="17" spans="2:13" s="244" customFormat="1" ht="24.95" customHeight="1">
      <c r="B17" s="258" t="s">
        <v>38</v>
      </c>
      <c r="C17" s="259" t="s">
        <v>28</v>
      </c>
      <c r="D17" s="251"/>
      <c r="E17" s="248" t="s">
        <v>143</v>
      </c>
      <c r="F17" s="260"/>
      <c r="G17" s="178"/>
    </row>
    <row r="18" spans="2:13" ht="24.95" customHeight="1">
      <c r="B18" s="253" t="s">
        <v>46</v>
      </c>
      <c r="C18" s="277" t="s">
        <v>255</v>
      </c>
      <c r="D18" s="251" t="s">
        <v>252</v>
      </c>
      <c r="E18" s="179" t="s">
        <v>144</v>
      </c>
      <c r="F18" s="251" t="s">
        <v>6</v>
      </c>
      <c r="G18" s="178">
        <f>'TERRAP E PAVIM'!Q22</f>
        <v>6576</v>
      </c>
    </row>
    <row r="19" spans="2:13" ht="24.95" customHeight="1">
      <c r="B19" s="253" t="s">
        <v>39</v>
      </c>
      <c r="C19" s="277" t="s">
        <v>256</v>
      </c>
      <c r="D19" s="251" t="s">
        <v>252</v>
      </c>
      <c r="E19" s="179" t="s">
        <v>295</v>
      </c>
      <c r="F19" s="251" t="s">
        <v>4</v>
      </c>
      <c r="G19" s="178">
        <f>'TERRAP E PAVIM'!S22</f>
        <v>986.40000000000009</v>
      </c>
    </row>
    <row r="20" spans="2:13" ht="24.95" customHeight="1">
      <c r="B20" s="253" t="s">
        <v>55</v>
      </c>
      <c r="C20" s="277" t="s">
        <v>257</v>
      </c>
      <c r="D20" s="251" t="s">
        <v>252</v>
      </c>
      <c r="E20" s="179" t="s">
        <v>145</v>
      </c>
      <c r="F20" s="251" t="s">
        <v>4</v>
      </c>
      <c r="G20" s="178">
        <f>'TERRAP E PAVIM'!T22</f>
        <v>1315.2</v>
      </c>
    </row>
    <row r="21" spans="2:13" ht="24.95" customHeight="1">
      <c r="B21" s="253" t="s">
        <v>56</v>
      </c>
      <c r="C21" s="277" t="s">
        <v>258</v>
      </c>
      <c r="D21" s="251" t="s">
        <v>252</v>
      </c>
      <c r="E21" s="254" t="s">
        <v>150</v>
      </c>
      <c r="F21" s="251" t="s">
        <v>146</v>
      </c>
      <c r="G21" s="178">
        <f>'TERRAP E PAVIM'!X22/200</f>
        <v>7.54</v>
      </c>
    </row>
    <row r="22" spans="2:13" ht="24.95" customHeight="1">
      <c r="B22" s="250"/>
      <c r="C22" s="185"/>
      <c r="D22" s="251"/>
      <c r="E22" s="189"/>
      <c r="F22" s="189"/>
      <c r="G22" s="249"/>
    </row>
    <row r="23" spans="2:13" ht="24.95" customHeight="1">
      <c r="B23" s="261" t="s">
        <v>42</v>
      </c>
      <c r="C23" s="234" t="s">
        <v>29</v>
      </c>
      <c r="D23" s="251"/>
      <c r="E23" s="205" t="s">
        <v>3</v>
      </c>
      <c r="F23" s="189"/>
      <c r="G23" s="249"/>
    </row>
    <row r="24" spans="2:13" ht="24.95" customHeight="1">
      <c r="B24" s="262" t="s">
        <v>43</v>
      </c>
      <c r="C24" s="277" t="s">
        <v>259</v>
      </c>
      <c r="D24" s="251" t="s">
        <v>252</v>
      </c>
      <c r="E24" s="263" t="s">
        <v>98</v>
      </c>
      <c r="F24" s="189" t="s">
        <v>6</v>
      </c>
      <c r="G24" s="178">
        <f>'TERRAP E PAVIM'!N22</f>
        <v>2466</v>
      </c>
    </row>
    <row r="25" spans="2:13" ht="24.95" customHeight="1">
      <c r="B25" s="262" t="s">
        <v>200</v>
      </c>
      <c r="C25" s="277" t="s">
        <v>261</v>
      </c>
      <c r="D25" s="251" t="s">
        <v>252</v>
      </c>
      <c r="E25" s="254" t="s">
        <v>188</v>
      </c>
      <c r="F25" s="251" t="s">
        <v>4</v>
      </c>
      <c r="G25" s="252">
        <f>(('TERRAP E PAVIM'!O22)-(G27*1.15))</f>
        <v>2297.1112500000004</v>
      </c>
      <c r="L25" s="264"/>
      <c r="M25" s="264"/>
    </row>
    <row r="26" spans="2:13" ht="24.95" customHeight="1">
      <c r="B26" s="262" t="s">
        <v>195</v>
      </c>
      <c r="C26" s="251">
        <v>5502137</v>
      </c>
      <c r="D26" s="251" t="s">
        <v>241</v>
      </c>
      <c r="E26" s="265" t="s">
        <v>260</v>
      </c>
      <c r="F26" s="251" t="s">
        <v>4</v>
      </c>
      <c r="G26" s="178">
        <f>'TERRAP E PAVIM'!P22*1.15</f>
        <v>101.38974999999999</v>
      </c>
      <c r="H26" s="266"/>
    </row>
    <row r="27" spans="2:13" ht="24.95" customHeight="1">
      <c r="B27" s="262" t="s">
        <v>187</v>
      </c>
      <c r="C27" s="251">
        <v>5503041</v>
      </c>
      <c r="D27" s="251" t="s">
        <v>241</v>
      </c>
      <c r="E27" s="263" t="s">
        <v>196</v>
      </c>
      <c r="F27" s="251" t="s">
        <v>4</v>
      </c>
      <c r="G27" s="178">
        <f>'TERRAP E PAVIM'!P22</f>
        <v>88.165000000000006</v>
      </c>
    </row>
    <row r="28" spans="2:13" ht="24.95" customHeight="1">
      <c r="B28" s="262" t="s">
        <v>201</v>
      </c>
      <c r="C28" s="251">
        <v>93595</v>
      </c>
      <c r="D28" s="251" t="s">
        <v>165</v>
      </c>
      <c r="E28" s="191" t="s">
        <v>191</v>
      </c>
      <c r="F28" s="251" t="s">
        <v>57</v>
      </c>
      <c r="G28" s="178">
        <f>TRANSP!J8</f>
        <v>14412.994827000002</v>
      </c>
    </row>
    <row r="29" spans="2:13" ht="24.95" customHeight="1">
      <c r="B29" s="262" t="s">
        <v>189</v>
      </c>
      <c r="C29" s="251">
        <v>95878</v>
      </c>
      <c r="D29" s="251" t="s">
        <v>165</v>
      </c>
      <c r="E29" s="191" t="s">
        <v>192</v>
      </c>
      <c r="F29" s="251" t="s">
        <v>57</v>
      </c>
      <c r="G29" s="178">
        <f>TRANSP!J14</f>
        <v>56172.639663000009</v>
      </c>
    </row>
    <row r="30" spans="2:13" ht="24.95" customHeight="1">
      <c r="B30" s="262" t="s">
        <v>190</v>
      </c>
      <c r="C30" s="277" t="s">
        <v>262</v>
      </c>
      <c r="D30" s="251" t="s">
        <v>252</v>
      </c>
      <c r="E30" s="179" t="s">
        <v>193</v>
      </c>
      <c r="F30" s="251" t="s">
        <v>4</v>
      </c>
      <c r="G30" s="178">
        <f>G25+G26</f>
        <v>2398.5010000000002</v>
      </c>
    </row>
    <row r="31" spans="2:13" ht="24.95" customHeight="1">
      <c r="B31" s="262"/>
      <c r="C31" s="267"/>
      <c r="D31" s="251"/>
      <c r="E31" s="268"/>
      <c r="F31" s="189"/>
      <c r="G31" s="178"/>
      <c r="I31" s="269"/>
    </row>
    <row r="32" spans="2:13" ht="24.95" customHeight="1">
      <c r="B32" s="261" t="s">
        <v>44</v>
      </c>
      <c r="C32" s="234" t="s">
        <v>31</v>
      </c>
      <c r="D32" s="251"/>
      <c r="E32" s="205" t="s">
        <v>5</v>
      </c>
      <c r="F32" s="189"/>
      <c r="G32" s="178"/>
    </row>
    <row r="33" spans="2:8" ht="24.95" customHeight="1">
      <c r="B33" s="262" t="s">
        <v>47</v>
      </c>
      <c r="C33" s="277" t="s">
        <v>264</v>
      </c>
      <c r="D33" s="251" t="s">
        <v>252</v>
      </c>
      <c r="E33" s="179" t="s">
        <v>99</v>
      </c>
      <c r="F33" s="189" t="s">
        <v>6</v>
      </c>
      <c r="G33" s="178">
        <f>'TERRAP E PAVIM'!Q22</f>
        <v>6576</v>
      </c>
    </row>
    <row r="34" spans="2:8" ht="24.95" customHeight="1">
      <c r="B34" s="262" t="s">
        <v>52</v>
      </c>
      <c r="C34" s="251" t="s">
        <v>263</v>
      </c>
      <c r="D34" s="251" t="s">
        <v>166</v>
      </c>
      <c r="E34" s="179" t="s">
        <v>153</v>
      </c>
      <c r="F34" s="251" t="s">
        <v>4</v>
      </c>
      <c r="G34" s="252">
        <f>('TERRAP E PAVIM'!R22+'TERRAP E PAVIM'!S22+'TERRAP E PAVIM'!T22)*1.15</f>
        <v>2646.84</v>
      </c>
    </row>
    <row r="35" spans="2:8" ht="24.95" customHeight="1">
      <c r="B35" s="262" t="s">
        <v>204</v>
      </c>
      <c r="C35" s="277" t="s">
        <v>265</v>
      </c>
      <c r="D35" s="251" t="s">
        <v>252</v>
      </c>
      <c r="E35" s="254" t="s">
        <v>100</v>
      </c>
      <c r="F35" s="251" t="s">
        <v>4</v>
      </c>
      <c r="G35" s="252">
        <f>'TERRAP E PAVIM'!S22</f>
        <v>986.40000000000009</v>
      </c>
    </row>
    <row r="36" spans="2:8" ht="24.95" customHeight="1">
      <c r="B36" s="262" t="s">
        <v>154</v>
      </c>
      <c r="C36" s="277" t="s">
        <v>266</v>
      </c>
      <c r="D36" s="251" t="s">
        <v>252</v>
      </c>
      <c r="E36" s="254" t="s">
        <v>101</v>
      </c>
      <c r="F36" s="251" t="s">
        <v>4</v>
      </c>
      <c r="G36" s="252">
        <f>'TERRAP E PAVIM'!T22</f>
        <v>1315.2</v>
      </c>
      <c r="H36" s="78"/>
    </row>
    <row r="37" spans="2:8" ht="24.95" customHeight="1">
      <c r="B37" s="262" t="s">
        <v>155</v>
      </c>
      <c r="C37" s="277" t="s">
        <v>267</v>
      </c>
      <c r="D37" s="251" t="s">
        <v>252</v>
      </c>
      <c r="E37" s="179" t="s">
        <v>102</v>
      </c>
      <c r="F37" s="189" t="s">
        <v>6</v>
      </c>
      <c r="G37" s="178">
        <f>'TERRAP E PAVIM'!U22</f>
        <v>5260.8</v>
      </c>
    </row>
    <row r="38" spans="2:8" ht="24.95" customHeight="1">
      <c r="B38" s="262" t="s">
        <v>156</v>
      </c>
      <c r="C38" s="277" t="s">
        <v>268</v>
      </c>
      <c r="D38" s="251" t="s">
        <v>252</v>
      </c>
      <c r="E38" s="179" t="s">
        <v>161</v>
      </c>
      <c r="F38" s="189" t="s">
        <v>6</v>
      </c>
      <c r="G38" s="178">
        <f>'TERRAP E PAVIM'!V22</f>
        <v>5260.8</v>
      </c>
    </row>
    <row r="39" spans="2:8" ht="24.95" customHeight="1">
      <c r="B39" s="262" t="s">
        <v>157</v>
      </c>
      <c r="C39" s="277" t="s">
        <v>269</v>
      </c>
      <c r="D39" s="251" t="s">
        <v>252</v>
      </c>
      <c r="E39" s="254" t="s">
        <v>270</v>
      </c>
      <c r="F39" s="189" t="s">
        <v>4</v>
      </c>
      <c r="G39" s="178">
        <f>'TERRAP E PAVIM'!W22</f>
        <v>157.82400000000001</v>
      </c>
    </row>
    <row r="40" spans="2:8" ht="24.95" customHeight="1">
      <c r="B40" s="262" t="s">
        <v>158</v>
      </c>
      <c r="C40" s="277" t="s">
        <v>296</v>
      </c>
      <c r="D40" s="251" t="s">
        <v>252</v>
      </c>
      <c r="E40" s="254" t="s">
        <v>207</v>
      </c>
      <c r="F40" s="189" t="s">
        <v>4</v>
      </c>
      <c r="G40" s="178">
        <f>'TERRAP E PAVIM'!W22</f>
        <v>157.82400000000001</v>
      </c>
    </row>
    <row r="41" spans="2:8" ht="24.95" customHeight="1">
      <c r="B41" s="262" t="s">
        <v>159</v>
      </c>
      <c r="C41" s="251">
        <v>93595</v>
      </c>
      <c r="D41" s="251" t="s">
        <v>165</v>
      </c>
      <c r="E41" s="254" t="s">
        <v>181</v>
      </c>
      <c r="F41" s="189" t="s">
        <v>57</v>
      </c>
      <c r="G41" s="178">
        <f>TRANSP!J22</f>
        <v>14441.159040000002</v>
      </c>
    </row>
    <row r="42" spans="2:8" ht="24.95" customHeight="1">
      <c r="B42" s="262" t="s">
        <v>160</v>
      </c>
      <c r="C42" s="251">
        <v>95878</v>
      </c>
      <c r="D42" s="251" t="s">
        <v>165</v>
      </c>
      <c r="E42" s="254" t="s">
        <v>179</v>
      </c>
      <c r="F42" s="189" t="s">
        <v>57</v>
      </c>
      <c r="G42" s="178">
        <f>TRANSP!J29</f>
        <v>56282.405760000009</v>
      </c>
    </row>
    <row r="43" spans="2:8" ht="24.95" customHeight="1">
      <c r="B43" s="262" t="s">
        <v>208</v>
      </c>
      <c r="C43" s="277" t="s">
        <v>271</v>
      </c>
      <c r="D43" s="251" t="s">
        <v>252</v>
      </c>
      <c r="E43" s="254" t="s">
        <v>203</v>
      </c>
      <c r="F43" s="189" t="s">
        <v>167</v>
      </c>
      <c r="G43" s="178">
        <f>TRANSP!J35</f>
        <v>1736.06</v>
      </c>
    </row>
    <row r="44" spans="2:8" ht="24.95" customHeight="1">
      <c r="B44" s="262"/>
      <c r="C44" s="285"/>
      <c r="D44" s="251"/>
      <c r="E44" s="285"/>
      <c r="F44" s="285"/>
      <c r="G44" s="178"/>
    </row>
    <row r="45" spans="2:8" ht="24.95" customHeight="1">
      <c r="B45" s="271" t="s">
        <v>103</v>
      </c>
      <c r="C45" s="272" t="s">
        <v>34</v>
      </c>
      <c r="D45" s="273"/>
      <c r="E45" s="274" t="s">
        <v>104</v>
      </c>
      <c r="F45" s="273"/>
      <c r="G45" s="275"/>
    </row>
    <row r="46" spans="2:8" ht="24.95" customHeight="1">
      <c r="B46" s="262" t="s">
        <v>105</v>
      </c>
      <c r="C46" s="277" t="s">
        <v>272</v>
      </c>
      <c r="D46" s="251" t="s">
        <v>252</v>
      </c>
      <c r="E46" s="179" t="s">
        <v>106</v>
      </c>
      <c r="F46" s="251" t="s">
        <v>6</v>
      </c>
      <c r="G46" s="252">
        <f>'SN HORIZ'!E80</f>
        <v>219.59807333333333</v>
      </c>
    </row>
    <row r="47" spans="2:8" ht="24.95" customHeight="1">
      <c r="B47" s="262" t="s">
        <v>107</v>
      </c>
      <c r="C47" s="251">
        <v>5213405</v>
      </c>
      <c r="D47" s="251" t="s">
        <v>241</v>
      </c>
      <c r="E47" s="179" t="s">
        <v>163</v>
      </c>
      <c r="F47" s="251" t="s">
        <v>6</v>
      </c>
      <c r="G47" s="252">
        <f>'SN HORIZ'!E81</f>
        <v>54.46</v>
      </c>
    </row>
    <row r="48" spans="2:8" ht="24.95" customHeight="1">
      <c r="B48" s="262" t="s">
        <v>108</v>
      </c>
      <c r="C48" s="251">
        <v>5213417</v>
      </c>
      <c r="D48" s="251" t="s">
        <v>241</v>
      </c>
      <c r="E48" s="179" t="s">
        <v>162</v>
      </c>
      <c r="F48" s="251" t="s">
        <v>6</v>
      </c>
      <c r="G48" s="252">
        <f>'SN VERT'!E60</f>
        <v>3.9620000000000002</v>
      </c>
    </row>
    <row r="49" spans="2:8" ht="24.95" customHeight="1">
      <c r="B49" s="262" t="s">
        <v>173</v>
      </c>
      <c r="C49" s="189">
        <v>5213855</v>
      </c>
      <c r="D49" s="251" t="s">
        <v>241</v>
      </c>
      <c r="E49" s="191" t="s">
        <v>172</v>
      </c>
      <c r="F49" s="189" t="s">
        <v>8</v>
      </c>
      <c r="G49" s="178">
        <f>G54/2</f>
        <v>14</v>
      </c>
    </row>
    <row r="50" spans="2:8" ht="24.95" customHeight="1">
      <c r="B50" s="262"/>
      <c r="C50" s="189"/>
      <c r="D50" s="251"/>
      <c r="E50" s="189"/>
      <c r="F50" s="189"/>
      <c r="G50" s="346"/>
    </row>
    <row r="51" spans="2:8" ht="24.95" customHeight="1">
      <c r="B51" s="261" t="s">
        <v>148</v>
      </c>
      <c r="C51" s="234" t="s">
        <v>125</v>
      </c>
      <c r="D51" s="251"/>
      <c r="E51" s="233" t="s">
        <v>9</v>
      </c>
      <c r="F51" s="251"/>
      <c r="G51" s="345"/>
    </row>
    <row r="52" spans="2:8" ht="24.95" customHeight="1">
      <c r="B52" s="253" t="s">
        <v>149</v>
      </c>
      <c r="C52" s="251">
        <v>94267</v>
      </c>
      <c r="D52" s="251" t="s">
        <v>165</v>
      </c>
      <c r="E52" s="254" t="s">
        <v>230</v>
      </c>
      <c r="F52" s="251" t="s">
        <v>7</v>
      </c>
      <c r="G52" s="252">
        <f>'TERRAP E PAVIM'!X22-G53</f>
        <v>1424</v>
      </c>
    </row>
    <row r="53" spans="2:8" ht="24.95" customHeight="1">
      <c r="B53" s="253" t="s">
        <v>170</v>
      </c>
      <c r="C53" s="251">
        <v>94268</v>
      </c>
      <c r="D53" s="251" t="s">
        <v>165</v>
      </c>
      <c r="E53" s="254" t="s">
        <v>231</v>
      </c>
      <c r="F53" s="251" t="s">
        <v>7</v>
      </c>
      <c r="G53" s="252">
        <f>ROUND(24*3.5,3)</f>
        <v>84</v>
      </c>
      <c r="H53" s="112"/>
    </row>
    <row r="54" spans="2:8" s="276" customFormat="1" ht="24.95" customHeight="1">
      <c r="B54" s="253" t="s">
        <v>229</v>
      </c>
      <c r="C54" s="277" t="s">
        <v>273</v>
      </c>
      <c r="D54" s="251" t="s">
        <v>252</v>
      </c>
      <c r="E54" s="179" t="s">
        <v>171</v>
      </c>
      <c r="F54" s="251" t="s">
        <v>8</v>
      </c>
      <c r="G54" s="252">
        <f>'SN VERT'!E61</f>
        <v>28</v>
      </c>
    </row>
    <row r="55" spans="2:8" ht="25.5" customHeight="1">
      <c r="B55" s="262"/>
      <c r="C55" s="189"/>
      <c r="D55" s="251"/>
      <c r="E55" s="189"/>
      <c r="F55" s="189"/>
      <c r="G55" s="178"/>
    </row>
    <row r="56" spans="2:8" ht="24.95" customHeight="1" thickBot="1">
      <c r="B56" s="278"/>
      <c r="C56" s="270"/>
      <c r="D56" s="270"/>
      <c r="E56" s="406"/>
      <c r="F56" s="270"/>
      <c r="G56" s="407"/>
    </row>
    <row r="60" spans="2:8">
      <c r="G60" s="266">
        <f>SUM(G9:G59)</f>
        <v>183540.27436333333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B6:G6"/>
    <mergeCell ref="G2:G3"/>
    <mergeCell ref="B2:F2"/>
    <mergeCell ref="B3:C3"/>
    <mergeCell ref="D3:F3"/>
    <mergeCell ref="D4:F5"/>
    <mergeCell ref="B4:C5"/>
    <mergeCell ref="G4:G5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HW65"/>
  <sheetViews>
    <sheetView tabSelected="1" zoomScale="70" zoomScaleNormal="70" workbookViewId="0">
      <selection activeCell="Q24" sqref="Q24"/>
    </sheetView>
  </sheetViews>
  <sheetFormatPr defaultColWidth="9.140625" defaultRowHeight="15" customHeight="1"/>
  <cols>
    <col min="1" max="1" width="9" style="112" customWidth="1"/>
    <col min="2" max="2" width="11.28515625" style="112" customWidth="1"/>
    <col min="3" max="3" width="12.7109375" style="112" customWidth="1"/>
    <col min="4" max="4" width="84.42578125" style="78" customWidth="1"/>
    <col min="5" max="5" width="7.140625" style="112" customWidth="1"/>
    <col min="6" max="6" width="15.28515625" style="113" customWidth="1"/>
    <col min="7" max="7" width="12.42578125" style="114" customWidth="1"/>
    <col min="8" max="8" width="17.140625" style="114" customWidth="1"/>
    <col min="9" max="9" width="14.28515625" style="114" customWidth="1"/>
    <col min="10" max="10" width="21.7109375" style="114" customWidth="1"/>
    <col min="11" max="11" width="10.140625" style="78" bestFit="1" customWidth="1"/>
    <col min="12" max="12" width="9.140625" style="78"/>
    <col min="13" max="13" width="9.85546875" style="78" bestFit="1" customWidth="1"/>
    <col min="14" max="16384" width="9.140625" style="78"/>
  </cols>
  <sheetData>
    <row r="1" spans="1:231" s="232" customFormat="1" ht="30.75" customHeight="1">
      <c r="A1" s="508" t="str">
        <f>QUANT!B2</f>
        <v>PREFEITURA MUNICIPAL DE VÁRZEA GRANDE</v>
      </c>
      <c r="B1" s="509"/>
      <c r="C1" s="510"/>
      <c r="D1" s="521" t="s">
        <v>236</v>
      </c>
      <c r="E1" s="522"/>
      <c r="F1" s="522"/>
      <c r="G1" s="522"/>
      <c r="H1" s="522"/>
      <c r="I1" s="523"/>
      <c r="J1" s="409" t="s">
        <v>75</v>
      </c>
      <c r="HW1" s="232" t="s">
        <v>10</v>
      </c>
    </row>
    <row r="2" spans="1:231" ht="15" customHeight="1">
      <c r="A2" s="511"/>
      <c r="B2" s="512"/>
      <c r="C2" s="513"/>
      <c r="D2" s="494" t="str">
        <f>RESUMO!C49</f>
        <v>RUA C, RUA, E, RUA F, RUA J E RUA MONSIEUR</v>
      </c>
      <c r="E2" s="495"/>
      <c r="F2" s="495"/>
      <c r="G2" s="495"/>
      <c r="H2" s="495"/>
      <c r="I2" s="496"/>
      <c r="J2" s="281" t="str">
        <f>RESUMO!D5</f>
        <v>DEZEMBRO/2021 SINAPI</v>
      </c>
    </row>
    <row r="3" spans="1:231" ht="16.5" customHeight="1">
      <c r="A3" s="511"/>
      <c r="B3" s="512"/>
      <c r="C3" s="513"/>
      <c r="D3" s="497"/>
      <c r="E3" s="483"/>
      <c r="F3" s="483"/>
      <c r="G3" s="483"/>
      <c r="H3" s="483"/>
      <c r="I3" s="498"/>
      <c r="J3" s="502" t="str">
        <f>RESUMO!D6</f>
        <v>JULHO/2021 SICRO</v>
      </c>
    </row>
    <row r="4" spans="1:231" ht="24.95" customHeight="1">
      <c r="A4" s="511"/>
      <c r="B4" s="512"/>
      <c r="C4" s="513"/>
      <c r="D4" s="505" t="str">
        <f>QUANT!B6</f>
        <v>OBRA: Pavimentação de Vias Urbanas</v>
      </c>
      <c r="E4" s="506"/>
      <c r="F4" s="506"/>
      <c r="G4" s="506"/>
      <c r="H4" s="506"/>
      <c r="I4" s="507"/>
      <c r="J4" s="502"/>
    </row>
    <row r="5" spans="1:231" ht="24.95" customHeight="1">
      <c r="A5" s="514"/>
      <c r="B5" s="515"/>
      <c r="C5" s="516"/>
      <c r="D5" s="505" t="s">
        <v>464</v>
      </c>
      <c r="E5" s="506"/>
      <c r="F5" s="506"/>
      <c r="G5" s="506"/>
      <c r="H5" s="506"/>
      <c r="I5" s="507"/>
      <c r="J5" s="503"/>
    </row>
    <row r="6" spans="1:231" ht="24.95" customHeight="1">
      <c r="A6" s="517" t="s">
        <v>97</v>
      </c>
      <c r="B6" s="518"/>
      <c r="C6" s="518"/>
      <c r="D6" s="279">
        <f>BDI!E26</f>
        <v>0.20699999999999999</v>
      </c>
      <c r="E6" s="524" t="s">
        <v>243</v>
      </c>
      <c r="F6" s="525"/>
      <c r="G6" s="528">
        <f>'TERRAP E PAVIM'!I24</f>
        <v>5754</v>
      </c>
      <c r="H6" s="530" t="s">
        <v>242</v>
      </c>
      <c r="I6" s="532">
        <f>'TERRAP E PAVIM'!I22</f>
        <v>822</v>
      </c>
      <c r="J6" s="534" t="s">
        <v>202</v>
      </c>
    </row>
    <row r="7" spans="1:231" ht="24.95" customHeight="1">
      <c r="A7" s="519" t="s">
        <v>169</v>
      </c>
      <c r="B7" s="520"/>
      <c r="C7" s="520"/>
      <c r="D7" s="280">
        <f>'BDI DIFERENCIADO'!E26</f>
        <v>0.1527</v>
      </c>
      <c r="E7" s="526"/>
      <c r="F7" s="527"/>
      <c r="G7" s="529"/>
      <c r="H7" s="531"/>
      <c r="I7" s="533"/>
      <c r="J7" s="535"/>
    </row>
    <row r="8" spans="1:231" s="283" customFormat="1" ht="24.95" customHeight="1">
      <c r="A8" s="234" t="str">
        <f>QUANT!B7</f>
        <v>ITEM</v>
      </c>
      <c r="B8" s="234" t="str">
        <f>QUANT!C7</f>
        <v>CÓDIGO</v>
      </c>
      <c r="C8" s="234" t="str">
        <f>QUANT!D7</f>
        <v>BANCO</v>
      </c>
      <c r="D8" s="233" t="str">
        <f>QUANT!E7</f>
        <v>DISCRIMINAÇÃO</v>
      </c>
      <c r="E8" s="234" t="s">
        <v>11</v>
      </c>
      <c r="F8" s="235" t="s">
        <v>12</v>
      </c>
      <c r="G8" s="155" t="s">
        <v>13</v>
      </c>
      <c r="H8" s="236" t="s">
        <v>183</v>
      </c>
      <c r="I8" s="234" t="s">
        <v>14</v>
      </c>
      <c r="J8" s="234" t="s">
        <v>15</v>
      </c>
    </row>
    <row r="9" spans="1:231" ht="30" customHeight="1">
      <c r="A9" s="234" t="str">
        <f>QUANT!B8</f>
        <v>1.0</v>
      </c>
      <c r="B9" s="234"/>
      <c r="C9" s="234"/>
      <c r="D9" s="233" t="str">
        <f>QUANT!E8</f>
        <v>SERVIÇOS PRELIMINARES</v>
      </c>
      <c r="E9" s="285"/>
      <c r="F9" s="207"/>
      <c r="G9" s="156"/>
      <c r="H9" s="156"/>
      <c r="I9" s="156"/>
      <c r="J9" s="237"/>
    </row>
    <row r="10" spans="1:231" ht="30" customHeight="1">
      <c r="A10" s="284" t="str">
        <f>QUANT!B9</f>
        <v>1.1</v>
      </c>
      <c r="B10" s="285" t="str">
        <f>QUANT!C9</f>
        <v>Comp. 1.1</v>
      </c>
      <c r="C10" s="285" t="str">
        <f>QUANT!D9</f>
        <v>Composição</v>
      </c>
      <c r="D10" s="194" t="str">
        <f>QUANT!E9</f>
        <v>Placa de obra em chapa de aço galvanizado</v>
      </c>
      <c r="E10" s="285" t="str">
        <f>QUANT!F9</f>
        <v>m²</v>
      </c>
      <c r="F10" s="207">
        <f>QUANT!G9</f>
        <v>12</v>
      </c>
      <c r="G10" s="156">
        <f>COMP.!S15</f>
        <v>326.34859999999998</v>
      </c>
      <c r="H10" s="156">
        <f>TRUNC((G10*(1+($D$6))),2)</f>
        <v>393.9</v>
      </c>
      <c r="I10" s="156">
        <f>TRUNC(F10*H10,2)</f>
        <v>4726.8</v>
      </c>
      <c r="J10" s="238"/>
    </row>
    <row r="11" spans="1:231" ht="30" customHeight="1">
      <c r="A11" s="284" t="str">
        <f>QUANT!B10</f>
        <v>1.2</v>
      </c>
      <c r="B11" s="285">
        <f>QUANT!C10</f>
        <v>93584</v>
      </c>
      <c r="C11" s="285" t="str">
        <f>QUANT!D10</f>
        <v>SINAPI</v>
      </c>
      <c r="D11" s="194" t="str">
        <f>QUANT!E10</f>
        <v>Execução de depósito em canteiro de obra</v>
      </c>
      <c r="E11" s="285" t="str">
        <f>QUANT!F10</f>
        <v>m²</v>
      </c>
      <c r="F11" s="207">
        <f>QUANT!G10</f>
        <v>30</v>
      </c>
      <c r="G11" s="156">
        <v>773.65</v>
      </c>
      <c r="H11" s="156">
        <f>TRUNC((G11*(1+($D$6))),2)</f>
        <v>933.79</v>
      </c>
      <c r="I11" s="156">
        <f>TRUNC(F11*H11,2)</f>
        <v>28013.7</v>
      </c>
      <c r="J11" s="238"/>
    </row>
    <row r="12" spans="1:231" ht="38.25">
      <c r="A12" s="284" t="str">
        <f>QUANT!B11</f>
        <v>1.3</v>
      </c>
      <c r="B12" s="285" t="str">
        <f>QUANT!C11</f>
        <v>Comp. 1.3</v>
      </c>
      <c r="C12" s="285" t="str">
        <f>QUANT!D11</f>
        <v>Composição</v>
      </c>
      <c r="D12" s="191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2" s="285" t="str">
        <f>QUANT!F11</f>
        <v>mês</v>
      </c>
      <c r="F12" s="207">
        <f>QUANT!G11</f>
        <v>6</v>
      </c>
      <c r="G12" s="156">
        <f>COMP.!S29</f>
        <v>590.62</v>
      </c>
      <c r="H12" s="156">
        <f>TRUNC((G12*(1+($D$6))),2)</f>
        <v>712.87</v>
      </c>
      <c r="I12" s="156">
        <f>TRUNC(F12*H12,2)</f>
        <v>4277.22</v>
      </c>
      <c r="J12" s="155"/>
      <c r="K12" s="283"/>
      <c r="L12" s="283"/>
      <c r="M12" s="283"/>
    </row>
    <row r="13" spans="1:231" ht="30" customHeight="1">
      <c r="A13" s="284" t="str">
        <f>QUANT!B12</f>
        <v>1.4</v>
      </c>
      <c r="B13" s="285">
        <f>QUANT!C12</f>
        <v>5213417</v>
      </c>
      <c r="C13" s="285" t="str">
        <f>QUANT!D12</f>
        <v>SICRO</v>
      </c>
      <c r="D13" s="194" t="str">
        <f>QUANT!E12</f>
        <v>Confecção de placa em aço nº 16 galvanizado, com película retrorrefletiva tipo I + III</v>
      </c>
      <c r="E13" s="285" t="str">
        <f>QUANT!F12</f>
        <v>m²</v>
      </c>
      <c r="F13" s="207">
        <f>QUANT!G12</f>
        <v>20</v>
      </c>
      <c r="G13" s="156">
        <v>369.62</v>
      </c>
      <c r="H13" s="156">
        <f>TRUNC((G13*(1+($D$6))),2)</f>
        <v>446.13</v>
      </c>
      <c r="I13" s="156">
        <f>TRUNC(F13*H13,2)</f>
        <v>8922.6</v>
      </c>
      <c r="J13" s="155">
        <f>SUM(I10:I13)</f>
        <v>45940.32</v>
      </c>
      <c r="K13" s="283"/>
      <c r="L13" s="283"/>
      <c r="M13" s="283"/>
    </row>
    <row r="14" spans="1:231" ht="30" customHeight="1">
      <c r="A14" s="284"/>
      <c r="B14" s="285"/>
      <c r="C14" s="285"/>
      <c r="D14" s="194"/>
      <c r="E14" s="285"/>
      <c r="F14" s="207"/>
      <c r="G14" s="156"/>
      <c r="H14" s="156"/>
      <c r="I14" s="156"/>
      <c r="J14" s="155"/>
      <c r="K14" s="283"/>
      <c r="L14" s="283"/>
      <c r="M14" s="283"/>
    </row>
    <row r="15" spans="1:231" ht="30" customHeight="1">
      <c r="A15" s="234" t="str">
        <f>QUANT!B14</f>
        <v>2.0</v>
      </c>
      <c r="B15" s="234"/>
      <c r="C15" s="234"/>
      <c r="D15" s="233" t="str">
        <f>QUANT!E14</f>
        <v>ADMINISTRAÇÃO LOCAL</v>
      </c>
      <c r="E15" s="285"/>
      <c r="F15" s="207"/>
      <c r="G15" s="156"/>
      <c r="H15" s="156"/>
      <c r="I15" s="156"/>
      <c r="J15" s="155"/>
      <c r="K15" s="240"/>
      <c r="L15" s="240"/>
      <c r="M15" s="240"/>
    </row>
    <row r="16" spans="1:231" ht="30" customHeight="1">
      <c r="A16" s="284" t="str">
        <f>QUANT!B15</f>
        <v>2.1</v>
      </c>
      <c r="B16" s="285" t="str">
        <f>QUANT!C15</f>
        <v>Comp. 2.1</v>
      </c>
      <c r="C16" s="285" t="str">
        <f>QUANT!D15</f>
        <v>Composição</v>
      </c>
      <c r="D16" s="194" t="str">
        <f>QUANT!E15</f>
        <v>Administração Local</v>
      </c>
      <c r="E16" s="285" t="str">
        <f>QUANT!F15</f>
        <v>unid</v>
      </c>
      <c r="F16" s="207">
        <f>QUANT!G15</f>
        <v>1</v>
      </c>
      <c r="G16" s="156">
        <f>COMP.!S50</f>
        <v>22085.919999999998</v>
      </c>
      <c r="H16" s="156">
        <f>TRUNC((G16*(1+($D$6))),2)</f>
        <v>26657.7</v>
      </c>
      <c r="I16" s="156">
        <f t="shared" ref="I16:I55" si="0">TRUNC(F16*H16,2)</f>
        <v>26657.7</v>
      </c>
      <c r="J16" s="155">
        <f>I16</f>
        <v>26657.7</v>
      </c>
      <c r="K16" s="951">
        <f>J16/J57</f>
        <v>3.3128749589878284E-2</v>
      </c>
      <c r="L16" s="239"/>
      <c r="M16" s="239"/>
    </row>
    <row r="17" spans="1:10" ht="30" customHeight="1">
      <c r="A17" s="284"/>
      <c r="B17" s="285"/>
      <c r="C17" s="285"/>
      <c r="D17" s="194"/>
      <c r="E17" s="285"/>
      <c r="F17" s="207"/>
      <c r="G17" s="156"/>
      <c r="H17" s="156"/>
      <c r="I17" s="156"/>
      <c r="J17" s="155"/>
    </row>
    <row r="18" spans="1:10" ht="30" customHeight="1">
      <c r="A18" s="234" t="str">
        <f>QUANT!B17</f>
        <v>3.0</v>
      </c>
      <c r="B18" s="234"/>
      <c r="C18" s="234"/>
      <c r="D18" s="233" t="str">
        <f>QUANT!E17</f>
        <v>ENSAIOS TECNOLÓGICOS DE SOLO E ASFALTO</v>
      </c>
      <c r="E18" s="285"/>
      <c r="F18" s="207"/>
      <c r="G18" s="156"/>
      <c r="H18" s="156"/>
      <c r="I18" s="156"/>
      <c r="J18" s="155"/>
    </row>
    <row r="19" spans="1:10" ht="30" customHeight="1">
      <c r="A19" s="284" t="str">
        <f>QUANT!B18</f>
        <v>3.1</v>
      </c>
      <c r="B19" s="285" t="str">
        <f>QUANT!C18</f>
        <v>Comp. 3.1</v>
      </c>
      <c r="C19" s="285" t="str">
        <f>QUANT!D18</f>
        <v>Composição</v>
      </c>
      <c r="D19" s="194" t="str">
        <f>QUANT!E18</f>
        <v>Ensaio de regularição de sub-leito</v>
      </c>
      <c r="E19" s="285" t="str">
        <f>QUANT!F18</f>
        <v>m²</v>
      </c>
      <c r="F19" s="207">
        <f>QUANT!G18</f>
        <v>6576</v>
      </c>
      <c r="G19" s="156">
        <f>COMP.!S70</f>
        <v>1.1387210000000001</v>
      </c>
      <c r="H19" s="156">
        <f>TRUNC((G19*(1+($D$6))),2)</f>
        <v>1.37</v>
      </c>
      <c r="I19" s="156">
        <f t="shared" si="0"/>
        <v>9009.1200000000008</v>
      </c>
      <c r="J19" s="155"/>
    </row>
    <row r="20" spans="1:10" ht="30" customHeight="1">
      <c r="A20" s="284" t="str">
        <f>QUANT!B19</f>
        <v>3.2</v>
      </c>
      <c r="B20" s="285" t="str">
        <f>QUANT!C19</f>
        <v>Comp. 3.2</v>
      </c>
      <c r="C20" s="285" t="str">
        <f>QUANT!D19</f>
        <v>Composição</v>
      </c>
      <c r="D20" s="194" t="str">
        <f>QUANT!E19</f>
        <v>Ensaio de Sub-base estabilizada granulometricamente</v>
      </c>
      <c r="E20" s="285" t="str">
        <f>QUANT!F19</f>
        <v>m³</v>
      </c>
      <c r="F20" s="207">
        <f>QUANT!G19</f>
        <v>986.40000000000009</v>
      </c>
      <c r="G20" s="156">
        <f>COMP.!S91</f>
        <v>2.18825</v>
      </c>
      <c r="H20" s="156">
        <f>TRUNC((G20*(1+($D$6))),2)</f>
        <v>2.64</v>
      </c>
      <c r="I20" s="156">
        <f t="shared" si="0"/>
        <v>2604.09</v>
      </c>
      <c r="J20" s="155"/>
    </row>
    <row r="21" spans="1:10" ht="30" customHeight="1">
      <c r="A21" s="284" t="str">
        <f>QUANT!B20</f>
        <v>3.3</v>
      </c>
      <c r="B21" s="285" t="str">
        <f>QUANT!C20</f>
        <v>Comp. 3.3</v>
      </c>
      <c r="C21" s="285" t="str">
        <f>QUANT!D20</f>
        <v>Composição</v>
      </c>
      <c r="D21" s="194" t="str">
        <f>QUANT!E20</f>
        <v>Ensaio de base estabilizada granulometricamente</v>
      </c>
      <c r="E21" s="285" t="str">
        <f>QUANT!F20</f>
        <v>m³</v>
      </c>
      <c r="F21" s="207">
        <f>QUANT!G20</f>
        <v>1315.2</v>
      </c>
      <c r="G21" s="156">
        <f>COMP.!S112</f>
        <v>2.18825</v>
      </c>
      <c r="H21" s="156">
        <f>TRUNC((G21*(1+($D$6))),2)</f>
        <v>2.64</v>
      </c>
      <c r="I21" s="156">
        <f t="shared" si="0"/>
        <v>3472.12</v>
      </c>
      <c r="J21" s="155"/>
    </row>
    <row r="22" spans="1:10" ht="30" customHeight="1">
      <c r="A22" s="284" t="str">
        <f>QUANT!B21</f>
        <v>3.4</v>
      </c>
      <c r="B22" s="285" t="str">
        <f>QUANT!C21</f>
        <v>Comp. 3.4</v>
      </c>
      <c r="C22" s="285" t="str">
        <f>QUANT!D21</f>
        <v>Composição</v>
      </c>
      <c r="D22" s="206" t="str">
        <f>QUANT!E21</f>
        <v>Ensaio de resistência a compressão simples do concreto - meio-fio, sarjetas e calçadas 
(considerado 1,0 amostra a cada 200 m)</v>
      </c>
      <c r="E22" s="285" t="str">
        <f>QUANT!F21</f>
        <v>un</v>
      </c>
      <c r="F22" s="207">
        <f>QUANT!G21</f>
        <v>7.54</v>
      </c>
      <c r="G22" s="156">
        <f>COMP.!S127</f>
        <v>129.38400000000001</v>
      </c>
      <c r="H22" s="156">
        <f>TRUNC((G22*(1+($D$6))),2)</f>
        <v>156.16</v>
      </c>
      <c r="I22" s="156">
        <f t="shared" si="0"/>
        <v>1177.44</v>
      </c>
      <c r="J22" s="155">
        <f>SUM(I19:I22)</f>
        <v>16262.770000000002</v>
      </c>
    </row>
    <row r="23" spans="1:10" ht="30" customHeight="1">
      <c r="A23" s="284"/>
      <c r="B23" s="285"/>
      <c r="C23" s="285"/>
      <c r="D23" s="194"/>
      <c r="E23" s="285"/>
      <c r="F23" s="207"/>
      <c r="G23" s="156"/>
      <c r="H23" s="156"/>
      <c r="I23" s="156"/>
      <c r="J23" s="156"/>
    </row>
    <row r="24" spans="1:10" ht="30" customHeight="1">
      <c r="A24" s="234" t="str">
        <f>QUANT!B23</f>
        <v>4.0</v>
      </c>
      <c r="B24" s="234"/>
      <c r="C24" s="234"/>
      <c r="D24" s="233" t="str">
        <f>QUANT!E23</f>
        <v>TERRAPLENAGEM</v>
      </c>
      <c r="E24" s="285"/>
      <c r="F24" s="207"/>
      <c r="G24" s="156"/>
      <c r="H24" s="156"/>
      <c r="I24" s="156"/>
      <c r="J24" s="156"/>
    </row>
    <row r="25" spans="1:10" ht="30" customHeight="1">
      <c r="A25" s="284" t="str">
        <f>QUANT!B24</f>
        <v>4.1</v>
      </c>
      <c r="B25" s="285" t="str">
        <f>QUANT!C24</f>
        <v>Comp. 4.1</v>
      </c>
      <c r="C25" s="285" t="str">
        <f>QUANT!D24</f>
        <v>Composição</v>
      </c>
      <c r="D25" s="206" t="str">
        <f>QUANT!E24</f>
        <v>Limpeza mecanizada de área com remoção de camada vegetal, utilizando motoniveladora</v>
      </c>
      <c r="E25" s="285" t="str">
        <f>QUANT!F24</f>
        <v>m²</v>
      </c>
      <c r="F25" s="207">
        <f>QUANT!G24</f>
        <v>2466</v>
      </c>
      <c r="G25" s="156">
        <f>COMP.!S143</f>
        <v>0.64431000000000005</v>
      </c>
      <c r="H25" s="156">
        <f t="shared" ref="H25:H31" si="1">TRUNC((G25*(1+($D$6))),2)</f>
        <v>0.77</v>
      </c>
      <c r="I25" s="156">
        <f t="shared" si="0"/>
        <v>1898.82</v>
      </c>
      <c r="J25" s="156"/>
    </row>
    <row r="26" spans="1:10" ht="30" customHeight="1">
      <c r="A26" s="284" t="str">
        <f>QUANT!B25</f>
        <v>4.2</v>
      </c>
      <c r="B26" s="285" t="str">
        <f>QUANT!C25</f>
        <v>Comp. 4.2</v>
      </c>
      <c r="C26" s="285" t="str">
        <f>QUANT!D25</f>
        <v>Composição</v>
      </c>
      <c r="D26" s="206" t="str">
        <f>QUANT!E25</f>
        <v>Escavacao mecanica de material 1a. categoria, proveniente de corte de subleito (c/trator esteiras 160hp)</v>
      </c>
      <c r="E26" s="285" t="str">
        <f>QUANT!F25</f>
        <v>m³</v>
      </c>
      <c r="F26" s="207">
        <f>QUANT!G25</f>
        <v>2297.1112500000004</v>
      </c>
      <c r="G26" s="156">
        <f>COMP.!S159</f>
        <v>1.8688026</v>
      </c>
      <c r="H26" s="156">
        <f t="shared" si="1"/>
        <v>2.25</v>
      </c>
      <c r="I26" s="156">
        <f t="shared" si="0"/>
        <v>5168.5</v>
      </c>
      <c r="J26" s="156"/>
    </row>
    <row r="27" spans="1:10" ht="30" customHeight="1">
      <c r="A27" s="284" t="str">
        <f>QUANT!B26</f>
        <v>4.3</v>
      </c>
      <c r="B27" s="285">
        <f>QUANT!C26</f>
        <v>5502137</v>
      </c>
      <c r="C27" s="285" t="str">
        <f>QUANT!D26</f>
        <v>SICRO</v>
      </c>
      <c r="D27" s="206" t="str">
        <f>QUANT!E26</f>
        <v>Escavação, carga e transporte de material de 1ª categoria - DMT de 400 a 600 m - caminho de serviço em revestimento primário - com escavadeira e caminhão basculante de 14 m³</v>
      </c>
      <c r="E27" s="285" t="str">
        <f>QUANT!F26</f>
        <v>m³</v>
      </c>
      <c r="F27" s="207">
        <f>QUANT!G26</f>
        <v>101.38974999999999</v>
      </c>
      <c r="G27" s="156">
        <v>4.4800000000000004</v>
      </c>
      <c r="H27" s="156">
        <f t="shared" si="1"/>
        <v>5.4</v>
      </c>
      <c r="I27" s="156">
        <f t="shared" si="0"/>
        <v>547.5</v>
      </c>
      <c r="J27" s="156"/>
    </row>
    <row r="28" spans="1:10" ht="30" customHeight="1">
      <c r="A28" s="284" t="str">
        <f>QUANT!B27</f>
        <v>4.4</v>
      </c>
      <c r="B28" s="285">
        <f>QUANT!C27</f>
        <v>5503041</v>
      </c>
      <c r="C28" s="285" t="str">
        <f>QUANT!D27</f>
        <v>SICRO</v>
      </c>
      <c r="D28" s="206" t="str">
        <f>QUANT!E27</f>
        <v>Compactação de aterros a 100% do Proctor intermediário</v>
      </c>
      <c r="E28" s="285" t="str">
        <f>QUANT!F27</f>
        <v>m³</v>
      </c>
      <c r="F28" s="207">
        <f>QUANT!G27</f>
        <v>88.165000000000006</v>
      </c>
      <c r="G28" s="156">
        <v>6.33</v>
      </c>
      <c r="H28" s="156">
        <f t="shared" si="1"/>
        <v>7.64</v>
      </c>
      <c r="I28" s="156">
        <f t="shared" si="0"/>
        <v>673.58</v>
      </c>
      <c r="J28" s="156"/>
    </row>
    <row r="29" spans="1:10" ht="30" customHeight="1">
      <c r="A29" s="284" t="str">
        <f>QUANT!B28</f>
        <v>4.5</v>
      </c>
      <c r="B29" s="285">
        <f>QUANT!C28</f>
        <v>93595</v>
      </c>
      <c r="C29" s="285" t="str">
        <f>QUANT!D28</f>
        <v>SINAPI</v>
      </c>
      <c r="D29" s="206" t="str">
        <f>QUANT!E28</f>
        <v>Transporte com caminhão basculante de 10 m3, em via urbana em revestimento primário (unidade: txkm). af_04/2016</v>
      </c>
      <c r="E29" s="285" t="str">
        <f>QUANT!F28</f>
        <v>txkm</v>
      </c>
      <c r="F29" s="207">
        <f>QUANT!G28</f>
        <v>14412.994827000002</v>
      </c>
      <c r="G29" s="156">
        <v>1.21</v>
      </c>
      <c r="H29" s="156">
        <f t="shared" si="1"/>
        <v>1.46</v>
      </c>
      <c r="I29" s="156">
        <f t="shared" si="0"/>
        <v>21042.97</v>
      </c>
      <c r="J29" s="156"/>
    </row>
    <row r="30" spans="1:10" ht="30" customHeight="1">
      <c r="A30" s="284" t="str">
        <f>QUANT!B29</f>
        <v>4.6</v>
      </c>
      <c r="B30" s="285">
        <f>QUANT!C29</f>
        <v>95878</v>
      </c>
      <c r="C30" s="285" t="str">
        <f>QUANT!D29</f>
        <v>SINAPI</v>
      </c>
      <c r="D30" s="206" t="str">
        <f>QUANT!E29</f>
        <v>Transporte com caminhão basculante de 10 m3, em via urbana pavimentada, dmt até 30 km (unidade: txkm). af_12/2016</v>
      </c>
      <c r="E30" s="285" t="str">
        <f>QUANT!F29</f>
        <v>txkm</v>
      </c>
      <c r="F30" s="207">
        <f>QUANT!G29</f>
        <v>56172.639663000009</v>
      </c>
      <c r="G30" s="156">
        <v>1.1100000000000001</v>
      </c>
      <c r="H30" s="156">
        <f t="shared" si="1"/>
        <v>1.33</v>
      </c>
      <c r="I30" s="156">
        <f t="shared" si="0"/>
        <v>74709.61</v>
      </c>
      <c r="J30" s="156"/>
    </row>
    <row r="31" spans="1:10" ht="30" customHeight="1">
      <c r="A31" s="284" t="str">
        <f>QUANT!B30</f>
        <v>4.7</v>
      </c>
      <c r="B31" s="285" t="str">
        <f>QUANT!C30</f>
        <v>Comp. 4.7</v>
      </c>
      <c r="C31" s="285" t="str">
        <f>QUANT!D30</f>
        <v>Composição</v>
      </c>
      <c r="D31" s="206" t="str">
        <f>QUANT!E30</f>
        <v>Espalhamento de material em bota fora, com utilização de trator de esteiras de 165 hp</v>
      </c>
      <c r="E31" s="285" t="str">
        <f>QUANT!F30</f>
        <v>m³</v>
      </c>
      <c r="F31" s="207">
        <f>QUANT!G30</f>
        <v>2398.5010000000002</v>
      </c>
      <c r="G31" s="156">
        <f>COMP.!S175</f>
        <v>1.088449158</v>
      </c>
      <c r="H31" s="156">
        <f t="shared" si="1"/>
        <v>1.31</v>
      </c>
      <c r="I31" s="156">
        <f t="shared" si="0"/>
        <v>3142.03</v>
      </c>
      <c r="J31" s="155">
        <f>SUM(I25:I31)</f>
        <v>107183.01000000001</v>
      </c>
    </row>
    <row r="32" spans="1:10" s="283" customFormat="1" ht="30" customHeight="1">
      <c r="A32" s="284"/>
      <c r="B32" s="285"/>
      <c r="C32" s="285"/>
      <c r="D32" s="194"/>
      <c r="E32" s="285"/>
      <c r="F32" s="207"/>
      <c r="G32" s="156"/>
      <c r="H32" s="156"/>
      <c r="I32" s="156"/>
      <c r="J32" s="155"/>
    </row>
    <row r="33" spans="1:10" s="283" customFormat="1" ht="30" customHeight="1">
      <c r="A33" s="234" t="str">
        <f>QUANT!B32</f>
        <v>5.0</v>
      </c>
      <c r="B33" s="234"/>
      <c r="C33" s="234"/>
      <c r="D33" s="233" t="str">
        <f>QUANT!E32</f>
        <v>PAVIMENTAÇÃO</v>
      </c>
      <c r="E33" s="285"/>
      <c r="F33" s="207"/>
      <c r="G33" s="156"/>
      <c r="H33" s="156"/>
      <c r="I33" s="156"/>
      <c r="J33" s="155"/>
    </row>
    <row r="34" spans="1:10" s="283" customFormat="1" ht="30" customHeight="1">
      <c r="A34" s="284" t="str">
        <f>QUANT!B33</f>
        <v>5.1</v>
      </c>
      <c r="B34" s="285" t="str">
        <f>QUANT!C33</f>
        <v>Comp. 5.1</v>
      </c>
      <c r="C34" s="285" t="str">
        <f>QUANT!D33</f>
        <v>Composição</v>
      </c>
      <c r="D34" s="194" t="str">
        <f>QUANT!E33</f>
        <v>Regularização e compactação de subleito até 20 cm de espessura</v>
      </c>
      <c r="E34" s="285" t="str">
        <f>QUANT!F33</f>
        <v>m²</v>
      </c>
      <c r="F34" s="207">
        <f>QUANT!G33</f>
        <v>6576</v>
      </c>
      <c r="G34" s="156">
        <f>COMP.!S197</f>
        <v>1.354003061</v>
      </c>
      <c r="H34" s="156">
        <f>TRUNC((G34*(1+($D$6))),2)</f>
        <v>1.63</v>
      </c>
      <c r="I34" s="156">
        <f t="shared" si="0"/>
        <v>10718.88</v>
      </c>
      <c r="J34" s="155"/>
    </row>
    <row r="35" spans="1:10" s="283" customFormat="1" ht="30" customHeight="1">
      <c r="A35" s="284" t="str">
        <f>QUANT!B34</f>
        <v>5.2</v>
      </c>
      <c r="B35" s="285" t="str">
        <f>QUANT!C34</f>
        <v>M980</v>
      </c>
      <c r="C35" s="285" t="str">
        <f>QUANT!D34</f>
        <v>COTAÇÃO</v>
      </c>
      <c r="D35" s="206" t="str">
        <f>QUANT!E34</f>
        <v>Indenização de jazida não condiz com o preço praticado na região (Preço praticado na jazida)</v>
      </c>
      <c r="E35" s="285" t="str">
        <f>QUANT!F34</f>
        <v>m³</v>
      </c>
      <c r="F35" s="207">
        <f>QUANT!G34</f>
        <v>2646.84</v>
      </c>
      <c r="G35" s="156">
        <v>15</v>
      </c>
      <c r="H35" s="156">
        <f>TRUNC((G35*(1+($D$7))),2)</f>
        <v>17.29</v>
      </c>
      <c r="I35" s="156">
        <f t="shared" si="0"/>
        <v>45763.86</v>
      </c>
      <c r="J35" s="155"/>
    </row>
    <row r="36" spans="1:10" s="283" customFormat="1" ht="30" customHeight="1">
      <c r="A36" s="284" t="str">
        <f>QUANT!B35</f>
        <v>5.3</v>
      </c>
      <c r="B36" s="285" t="str">
        <f>QUANT!C35</f>
        <v>Comp. 5.3</v>
      </c>
      <c r="C36" s="285" t="str">
        <f>QUANT!D35</f>
        <v>Composição</v>
      </c>
      <c r="D36" s="206" t="str">
        <f>QUANT!E35</f>
        <v>Execução e compactação de sub base com solo estabilizado granulometricamente - exclusive escavação, carga e transporte e solo. af_09/2017</v>
      </c>
      <c r="E36" s="285" t="str">
        <f>QUANT!F35</f>
        <v>m³</v>
      </c>
      <c r="F36" s="207">
        <f>QUANT!G35</f>
        <v>986.40000000000009</v>
      </c>
      <c r="G36" s="156">
        <f>COMP.!S223</f>
        <v>8.8579279999999994</v>
      </c>
      <c r="H36" s="156">
        <f t="shared" ref="H36:H44" si="2">TRUNC((G36*(1+($D$6))),2)</f>
        <v>10.69</v>
      </c>
      <c r="I36" s="156">
        <f t="shared" si="0"/>
        <v>10544.61</v>
      </c>
      <c r="J36" s="155"/>
    </row>
    <row r="37" spans="1:10" s="283" customFormat="1" ht="30" customHeight="1">
      <c r="A37" s="284" t="str">
        <f>QUANT!B36</f>
        <v>5.4</v>
      </c>
      <c r="B37" s="285" t="str">
        <f>QUANT!C36</f>
        <v>Comp. 5.4</v>
      </c>
      <c r="C37" s="285" t="str">
        <f>QUANT!D36</f>
        <v>Composição</v>
      </c>
      <c r="D37" s="206" t="str">
        <f>QUANT!E36</f>
        <v>Execução e compactação de base com solo estabilizado granulometricamente - exclusive escavação, carga e transporte e solo. af_09/2017</v>
      </c>
      <c r="E37" s="285" t="str">
        <f>QUANT!F36</f>
        <v>m³</v>
      </c>
      <c r="F37" s="207">
        <f>QUANT!G36</f>
        <v>1315.2</v>
      </c>
      <c r="G37" s="156">
        <f>COMP.!S248</f>
        <v>8.8579279999999994</v>
      </c>
      <c r="H37" s="156">
        <f t="shared" si="2"/>
        <v>10.69</v>
      </c>
      <c r="I37" s="156">
        <f t="shared" si="0"/>
        <v>14059.48</v>
      </c>
      <c r="J37" s="155"/>
    </row>
    <row r="38" spans="1:10" s="283" customFormat="1" ht="30" customHeight="1">
      <c r="A38" s="284" t="str">
        <f>QUANT!B37</f>
        <v>5.5</v>
      </c>
      <c r="B38" s="285" t="str">
        <f>QUANT!C37</f>
        <v>Comp. 5.5</v>
      </c>
      <c r="C38" s="285" t="str">
        <f>QUANT!D37</f>
        <v>Composição</v>
      </c>
      <c r="D38" s="194" t="str">
        <f>QUANT!E37</f>
        <v>Execução de imprimação com asfalto diluído CM-30. af_09/2017</v>
      </c>
      <c r="E38" s="285" t="str">
        <f>QUANT!F37</f>
        <v>m²</v>
      </c>
      <c r="F38" s="207">
        <f>QUANT!G37</f>
        <v>5260.8</v>
      </c>
      <c r="G38" s="156">
        <f>COMP.!S268</f>
        <v>8.7357030000000009</v>
      </c>
      <c r="H38" s="156">
        <f t="shared" si="2"/>
        <v>10.54</v>
      </c>
      <c r="I38" s="156">
        <f t="shared" si="0"/>
        <v>55448.83</v>
      </c>
      <c r="J38" s="155"/>
    </row>
    <row r="39" spans="1:10" s="283" customFormat="1" ht="30" customHeight="1">
      <c r="A39" s="284" t="str">
        <f>QUANT!B38</f>
        <v>5.6</v>
      </c>
      <c r="B39" s="285" t="str">
        <f>QUANT!C38</f>
        <v>Comp. 5.6</v>
      </c>
      <c r="C39" s="285" t="str">
        <f>QUANT!D38</f>
        <v>Composição</v>
      </c>
      <c r="D39" s="194" t="str">
        <f>QUANT!E38</f>
        <v>Pintura de ligação com emulsão RR-2C</v>
      </c>
      <c r="E39" s="285" t="str">
        <f>QUANT!F38</f>
        <v>m²</v>
      </c>
      <c r="F39" s="207">
        <f>QUANT!G38</f>
        <v>5260.8</v>
      </c>
      <c r="G39" s="156">
        <f>COMP.!S286</f>
        <v>2.557445</v>
      </c>
      <c r="H39" s="156">
        <f t="shared" si="2"/>
        <v>3.08</v>
      </c>
      <c r="I39" s="156">
        <f t="shared" si="0"/>
        <v>16203.26</v>
      </c>
      <c r="J39" s="155"/>
    </row>
    <row r="40" spans="1:10" ht="30" customHeight="1">
      <c r="A40" s="284" t="str">
        <f>QUANT!B39</f>
        <v>5.7</v>
      </c>
      <c r="B40" s="285" t="str">
        <f>QUANT!C39</f>
        <v>Comp. 5.7</v>
      </c>
      <c r="C40" s="285" t="str">
        <f>QUANT!D39</f>
        <v>Composição</v>
      </c>
      <c r="D40" s="206" t="str">
        <f>QUANT!E39</f>
        <v>Construção de pavimento com aplicação de concreto betuminoso usinado a quente (cbuq), camada de rolamento, com espessura de 3,0 cm  exclusive transporte. af_03/2017</v>
      </c>
      <c r="E40" s="285" t="str">
        <f>QUANT!F39</f>
        <v>m³</v>
      </c>
      <c r="F40" s="207">
        <f>QUANT!G39</f>
        <v>157.82400000000001</v>
      </c>
      <c r="G40" s="156">
        <f>COMP.!S310</f>
        <v>1306.0098410000001</v>
      </c>
      <c r="H40" s="156">
        <f t="shared" si="2"/>
        <v>1576.35</v>
      </c>
      <c r="I40" s="156">
        <f t="shared" si="0"/>
        <v>248785.86</v>
      </c>
      <c r="J40" s="155"/>
    </row>
    <row r="41" spans="1:10" ht="30" customHeight="1">
      <c r="A41" s="284" t="str">
        <f>QUANT!B40</f>
        <v>5.8</v>
      </c>
      <c r="B41" s="285" t="str">
        <f>QUANT!C40</f>
        <v>Comp. 5.8</v>
      </c>
      <c r="C41" s="285" t="str">
        <f>QUANT!D40</f>
        <v>Composição</v>
      </c>
      <c r="D41" s="206" t="str">
        <f>QUANT!E40</f>
        <v>Carga e descarga de material betuminoso a quente com caminhão basculante 6m3, descarga em vibro-acabadora</v>
      </c>
      <c r="E41" s="285" t="str">
        <f>QUANT!F40</f>
        <v>m³</v>
      </c>
      <c r="F41" s="207">
        <f>QUANT!G40</f>
        <v>157.82400000000001</v>
      </c>
      <c r="G41" s="156">
        <f>COMP.!S324</f>
        <v>6.2946239999999998</v>
      </c>
      <c r="H41" s="156">
        <f t="shared" si="2"/>
        <v>7.59</v>
      </c>
      <c r="I41" s="156">
        <f t="shared" si="0"/>
        <v>1197.8800000000001</v>
      </c>
      <c r="J41" s="155"/>
    </row>
    <row r="42" spans="1:10" ht="30" customHeight="1">
      <c r="A42" s="284" t="str">
        <f>QUANT!B41</f>
        <v>5.9</v>
      </c>
      <c r="B42" s="285">
        <f>QUANT!C41</f>
        <v>93595</v>
      </c>
      <c r="C42" s="285" t="str">
        <f>QUANT!D41</f>
        <v>SINAPI</v>
      </c>
      <c r="D42" s="206" t="str">
        <f>QUANT!E41</f>
        <v>Transporte com caminhão basculante de 10 m3, em via urbana em revestimento primário (unidade: tonxkm). af_04/2016</v>
      </c>
      <c r="E42" s="285" t="str">
        <f>QUANT!F41</f>
        <v>txkm</v>
      </c>
      <c r="F42" s="207">
        <f>QUANT!G41</f>
        <v>14441.159040000002</v>
      </c>
      <c r="G42" s="156">
        <v>1.21</v>
      </c>
      <c r="H42" s="156">
        <f t="shared" si="2"/>
        <v>1.46</v>
      </c>
      <c r="I42" s="156">
        <f t="shared" si="0"/>
        <v>21084.09</v>
      </c>
      <c r="J42" s="155"/>
    </row>
    <row r="43" spans="1:10" ht="30" customHeight="1">
      <c r="A43" s="284" t="str">
        <f>QUANT!B42</f>
        <v>5.10</v>
      </c>
      <c r="B43" s="285">
        <f>QUANT!C42</f>
        <v>95878</v>
      </c>
      <c r="C43" s="285" t="str">
        <f>QUANT!D42</f>
        <v>SINAPI</v>
      </c>
      <c r="D43" s="206" t="str">
        <f>QUANT!E42</f>
        <v>Transporte com caminhão basculante de 10 m3, em via urbana pavimentada, dmt até 30 km (unidade: tonxkm). af_12/2016</v>
      </c>
      <c r="E43" s="285" t="str">
        <f>QUANT!F42</f>
        <v>txkm</v>
      </c>
      <c r="F43" s="207">
        <f>QUANT!G42</f>
        <v>56282.405760000009</v>
      </c>
      <c r="G43" s="156">
        <v>1.1100000000000001</v>
      </c>
      <c r="H43" s="156">
        <f t="shared" si="2"/>
        <v>1.33</v>
      </c>
      <c r="I43" s="156">
        <f t="shared" si="0"/>
        <v>74855.59</v>
      </c>
      <c r="J43" s="155"/>
    </row>
    <row r="44" spans="1:10" ht="30" customHeight="1">
      <c r="A44" s="284" t="str">
        <f>QUANT!B43</f>
        <v>5.11</v>
      </c>
      <c r="B44" s="285" t="str">
        <f>QUANT!C43</f>
        <v>Comp. 5.11</v>
      </c>
      <c r="C44" s="285" t="str">
        <f>QUANT!D43</f>
        <v>Composição</v>
      </c>
      <c r="D44" s="206" t="str">
        <f>QUANT!E43</f>
        <v>Transporte com caminhão basculante 10 m3 de massa asfáltica para pavimentação urbana</v>
      </c>
      <c r="E44" s="285" t="str">
        <f>QUANT!F43</f>
        <v>m³xkm</v>
      </c>
      <c r="F44" s="207">
        <f>QUANT!G43</f>
        <v>1736.06</v>
      </c>
      <c r="G44" s="156">
        <f>COMP.!S339</f>
        <v>1.070658168</v>
      </c>
      <c r="H44" s="156">
        <f t="shared" si="2"/>
        <v>1.29</v>
      </c>
      <c r="I44" s="156">
        <f t="shared" si="0"/>
        <v>2239.5100000000002</v>
      </c>
      <c r="J44" s="155">
        <f>SUM(I34:I44)</f>
        <v>500901.85000000009</v>
      </c>
    </row>
    <row r="45" spans="1:10" ht="30" customHeight="1">
      <c r="A45" s="284"/>
      <c r="B45" s="285"/>
      <c r="C45" s="285"/>
      <c r="D45" s="194"/>
      <c r="E45" s="285"/>
      <c r="F45" s="207"/>
      <c r="G45" s="156"/>
      <c r="H45" s="156"/>
      <c r="I45" s="156"/>
      <c r="J45" s="156"/>
    </row>
    <row r="46" spans="1:10" ht="30" customHeight="1">
      <c r="A46" s="234" t="str">
        <f>QUANT!B45</f>
        <v>6.0</v>
      </c>
      <c r="B46" s="234"/>
      <c r="C46" s="234"/>
      <c r="D46" s="233" t="str">
        <f>QUANT!E45</f>
        <v>SINALIZAÇÃO HORIZONTAL/VERTICAL</v>
      </c>
      <c r="E46" s="285"/>
      <c r="F46" s="207"/>
      <c r="G46" s="156"/>
      <c r="H46" s="156"/>
      <c r="I46" s="156"/>
      <c r="J46" s="156"/>
    </row>
    <row r="47" spans="1:10" ht="30" customHeight="1">
      <c r="A47" s="284" t="str">
        <f>QUANT!B46</f>
        <v>6.1</v>
      </c>
      <c r="B47" s="285" t="str">
        <f>QUANT!C46</f>
        <v>Comp. 6.1</v>
      </c>
      <c r="C47" s="285" t="str">
        <f>QUANT!D46</f>
        <v>Composição</v>
      </c>
      <c r="D47" s="206" t="str">
        <f>QUANT!E46</f>
        <v>Sinalizacao horizontal com tinta retrorrefletiva a base de resina acrilica  c/ micro esfera de vidro</v>
      </c>
      <c r="E47" s="285" t="str">
        <f>QUANT!F46</f>
        <v>m²</v>
      </c>
      <c r="F47" s="207">
        <f>QUANT!G46</f>
        <v>219.59807333333333</v>
      </c>
      <c r="G47" s="156">
        <f>COMP.!S360</f>
        <v>16.110144009999999</v>
      </c>
      <c r="H47" s="156">
        <f>TRUNC((G47*(1+($D$6))),2)</f>
        <v>19.440000000000001</v>
      </c>
      <c r="I47" s="156">
        <f t="shared" si="0"/>
        <v>4268.9799999999996</v>
      </c>
      <c r="J47" s="156"/>
    </row>
    <row r="48" spans="1:10" ht="30" customHeight="1">
      <c r="A48" s="284" t="str">
        <f>QUANT!B47</f>
        <v>6.2</v>
      </c>
      <c r="B48" s="285">
        <f>QUANT!C47</f>
        <v>5213405</v>
      </c>
      <c r="C48" s="285" t="str">
        <f>QUANT!D47</f>
        <v>SICRO</v>
      </c>
      <c r="D48" s="194" t="str">
        <f>QUANT!E47</f>
        <v>Pintura de setas e zebrados - tinta base acrílica - espessura de 0,6 mm</v>
      </c>
      <c r="E48" s="285" t="str">
        <f>QUANT!F47</f>
        <v>m²</v>
      </c>
      <c r="F48" s="207">
        <f>QUANT!G47</f>
        <v>54.46</v>
      </c>
      <c r="G48" s="156">
        <v>42.85</v>
      </c>
      <c r="H48" s="156">
        <f>TRUNC((G48*(1+($D$6))),2)</f>
        <v>51.71</v>
      </c>
      <c r="I48" s="156">
        <f t="shared" si="0"/>
        <v>2816.12</v>
      </c>
      <c r="J48" s="156"/>
    </row>
    <row r="49" spans="1:14" ht="30" customHeight="1">
      <c r="A49" s="284" t="str">
        <f>QUANT!B48</f>
        <v>6.3</v>
      </c>
      <c r="B49" s="285">
        <f>QUANT!C48</f>
        <v>5213417</v>
      </c>
      <c r="C49" s="285" t="str">
        <f>QUANT!D48</f>
        <v>SICRO</v>
      </c>
      <c r="D49" s="206" t="str">
        <f>QUANT!E48</f>
        <v>Confecção de placa em aço nº 16 galvanizado, com película retrorrefletiva tipo I + III</v>
      </c>
      <c r="E49" s="285" t="str">
        <f>QUANT!F48</f>
        <v>m²</v>
      </c>
      <c r="F49" s="207">
        <f>QUANT!G48</f>
        <v>3.9620000000000002</v>
      </c>
      <c r="G49" s="156">
        <v>369.62</v>
      </c>
      <c r="H49" s="156">
        <f>TRUNC((G49*(1+($D$6))),2)</f>
        <v>446.13</v>
      </c>
      <c r="I49" s="156">
        <f t="shared" si="0"/>
        <v>1767.56</v>
      </c>
      <c r="J49" s="155"/>
    </row>
    <row r="50" spans="1:14" ht="30" customHeight="1">
      <c r="A50" s="284" t="str">
        <f>QUANT!B49</f>
        <v>6.4</v>
      </c>
      <c r="B50" s="285">
        <f>QUANT!C49</f>
        <v>5213855</v>
      </c>
      <c r="C50" s="285" t="str">
        <f>QUANT!D49</f>
        <v>SICRO</v>
      </c>
      <c r="D50" s="206" t="str">
        <f>QUANT!E49</f>
        <v>Fornecimento e implantação de suporte metálico galvanizado para placa de regulamentação - R1 - lado de 0,248 m</v>
      </c>
      <c r="E50" s="285"/>
      <c r="F50" s="207">
        <f>QUANT!G49</f>
        <v>14</v>
      </c>
      <c r="G50" s="156">
        <v>273.38</v>
      </c>
      <c r="H50" s="156">
        <f>TRUNC((G50*(1+($D$6))),2)</f>
        <v>329.96</v>
      </c>
      <c r="I50" s="156">
        <f t="shared" si="0"/>
        <v>4619.4399999999996</v>
      </c>
      <c r="J50" s="155">
        <f>SUM(I47:I50)</f>
        <v>13472.099999999999</v>
      </c>
    </row>
    <row r="51" spans="1:14" ht="30" customHeight="1">
      <c r="A51" s="284"/>
      <c r="B51" s="285"/>
      <c r="C51" s="285"/>
      <c r="D51" s="194"/>
      <c r="E51" s="285"/>
      <c r="F51" s="207"/>
      <c r="G51" s="156"/>
      <c r="H51" s="156"/>
      <c r="I51" s="156"/>
      <c r="J51" s="156"/>
      <c r="K51" s="240"/>
      <c r="L51" s="240"/>
      <c r="M51" s="240"/>
      <c r="N51" s="240"/>
    </row>
    <row r="52" spans="1:14" ht="30" customHeight="1">
      <c r="A52" s="234" t="str">
        <f>QUANT!B51</f>
        <v>7.0</v>
      </c>
      <c r="B52" s="234"/>
      <c r="C52" s="234"/>
      <c r="D52" s="233" t="str">
        <f>QUANT!E51</f>
        <v>OBRAS COMPLEMENTARES</v>
      </c>
      <c r="E52" s="285"/>
      <c r="F52" s="207"/>
      <c r="G52" s="156"/>
      <c r="H52" s="156"/>
      <c r="I52" s="156"/>
      <c r="J52" s="156"/>
      <c r="K52" s="239"/>
      <c r="L52" s="239"/>
      <c r="M52" s="239"/>
      <c r="N52" s="239"/>
    </row>
    <row r="53" spans="1:14" ht="30" customHeight="1">
      <c r="A53" s="284" t="str">
        <f>QUANT!B52</f>
        <v>7.1</v>
      </c>
      <c r="B53" s="285">
        <f>QUANT!C52</f>
        <v>94267</v>
      </c>
      <c r="C53" s="285" t="str">
        <f>QUANT!D52</f>
        <v>SINAPI</v>
      </c>
      <c r="D53" s="206" t="str">
        <f>QUANT!E52</f>
        <v>Guia (meio-fio) e sarjeta conjugados de concreto, moldada i n loco em trecho reto com extrusora, guia 13 cm base x 22 cm altura. af_06/2016</v>
      </c>
      <c r="E53" s="285" t="str">
        <f>QUANT!F52</f>
        <v>m</v>
      </c>
      <c r="F53" s="207">
        <f>QUANT!G52</f>
        <v>1424</v>
      </c>
      <c r="G53" s="156">
        <v>50.05</v>
      </c>
      <c r="H53" s="156">
        <f>TRUNC((G53*(1+($D$6))),2)</f>
        <v>60.41</v>
      </c>
      <c r="I53" s="156">
        <f t="shared" si="0"/>
        <v>86023.84</v>
      </c>
      <c r="J53" s="156"/>
      <c r="K53" s="239"/>
      <c r="L53" s="239"/>
      <c r="M53" s="239"/>
      <c r="N53" s="239"/>
    </row>
    <row r="54" spans="1:14" ht="30" customHeight="1">
      <c r="A54" s="284" t="str">
        <f>QUANT!B53</f>
        <v>7.2</v>
      </c>
      <c r="B54" s="285">
        <f>QUANT!C53</f>
        <v>94268</v>
      </c>
      <c r="C54" s="285" t="str">
        <f>QUANT!D53</f>
        <v>SINAPI</v>
      </c>
      <c r="D54" s="206" t="str">
        <f>QUANT!E53</f>
        <v>Guia (meio-fio) e sarjeta conjugados de concreto, moldada i n loco em trecho curvo com extrusora, guia 13 cm base x 22 cm altura. af_06/2016</v>
      </c>
      <c r="E54" s="285" t="str">
        <f>QUANT!F53</f>
        <v>m</v>
      </c>
      <c r="F54" s="207">
        <f>QUANT!G53</f>
        <v>84</v>
      </c>
      <c r="G54" s="156">
        <v>53.9</v>
      </c>
      <c r="H54" s="156">
        <f>TRUNC((G54*(1+($D$6))),2)</f>
        <v>65.05</v>
      </c>
      <c r="I54" s="156">
        <f t="shared" si="0"/>
        <v>5464.2</v>
      </c>
      <c r="J54" s="156"/>
      <c r="K54" s="239"/>
      <c r="L54" s="239"/>
      <c r="M54" s="239"/>
      <c r="N54" s="239"/>
    </row>
    <row r="55" spans="1:14" s="112" customFormat="1" ht="30" customHeight="1">
      <c r="A55" s="284" t="str">
        <f>QUANT!B54</f>
        <v>7.3</v>
      </c>
      <c r="B55" s="285" t="str">
        <f>QUANT!C54</f>
        <v>Comp. 7.3</v>
      </c>
      <c r="C55" s="285" t="str">
        <f>QUANT!D54</f>
        <v>Composição</v>
      </c>
      <c r="D55" s="206" t="str">
        <f>QUANT!E54</f>
        <v>Placa esmaltada para identificação NR de Rua, dimensões 45X25cm</v>
      </c>
      <c r="E55" s="285" t="str">
        <f>QUANT!F54</f>
        <v>unid</v>
      </c>
      <c r="F55" s="207">
        <f>QUANT!G54</f>
        <v>28</v>
      </c>
      <c r="G55" s="156">
        <f>COMP.!S376</f>
        <v>81.781999999999996</v>
      </c>
      <c r="H55" s="156">
        <f>TRUNC((G55*(1+($D$6))),2)</f>
        <v>98.71</v>
      </c>
      <c r="I55" s="156">
        <f t="shared" si="0"/>
        <v>2763.88</v>
      </c>
      <c r="J55" s="155">
        <f>SUM(I53:I55)</f>
        <v>94251.92</v>
      </c>
    </row>
    <row r="56" spans="1:14" ht="30" customHeight="1">
      <c r="A56" s="284"/>
      <c r="B56" s="285"/>
      <c r="C56" s="285"/>
      <c r="D56" s="206"/>
      <c r="E56" s="285"/>
      <c r="F56" s="207"/>
      <c r="G56" s="156"/>
      <c r="H56" s="156"/>
      <c r="I56" s="156"/>
      <c r="J56" s="155"/>
    </row>
    <row r="57" spans="1:14" ht="30" customHeight="1">
      <c r="A57" s="284"/>
      <c r="B57" s="285"/>
      <c r="C57" s="285"/>
      <c r="D57" s="194"/>
      <c r="E57" s="285"/>
      <c r="F57" s="207"/>
      <c r="G57" s="156"/>
      <c r="H57" s="207"/>
      <c r="I57" s="235" t="s">
        <v>15</v>
      </c>
      <c r="J57" s="241">
        <f>SUM(J13:J55)</f>
        <v>804669.67000000016</v>
      </c>
    </row>
    <row r="58" spans="1:14" ht="17.45" customHeight="1"/>
    <row r="59" spans="1:14" ht="17.45" customHeight="1">
      <c r="F59" s="504"/>
      <c r="G59" s="504"/>
    </row>
    <row r="60" spans="1:14" ht="16.7" customHeight="1">
      <c r="F60" s="504"/>
      <c r="G60" s="504"/>
      <c r="J60" s="114">
        <f>J57-RESUMO!D43</f>
        <v>0</v>
      </c>
    </row>
    <row r="61" spans="1:14" ht="17.45" customHeight="1">
      <c r="F61" s="113">
        <f>SUM(F9:F55)</f>
        <v>183540.27436333333</v>
      </c>
    </row>
    <row r="63" spans="1:14" ht="17.45" customHeight="1">
      <c r="F63" s="113">
        <f>F61-QUANT!G60</f>
        <v>0</v>
      </c>
    </row>
    <row r="65" spans="10:10" ht="22.5" customHeight="1">
      <c r="J65" s="78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5">
    <mergeCell ref="J3:J5"/>
    <mergeCell ref="F60:G60"/>
    <mergeCell ref="D5:I5"/>
    <mergeCell ref="A1:C5"/>
    <mergeCell ref="A6:C6"/>
    <mergeCell ref="A7:C7"/>
    <mergeCell ref="D1:I1"/>
    <mergeCell ref="D2:I3"/>
    <mergeCell ref="F59:G59"/>
    <mergeCell ref="E6:F7"/>
    <mergeCell ref="G6:G7"/>
    <mergeCell ref="H6:H7"/>
    <mergeCell ref="I6:I7"/>
    <mergeCell ref="J6:J7"/>
    <mergeCell ref="D4:I4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  <ignoredErrors>
    <ignoredError sqref="H3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J36"/>
  <sheetViews>
    <sheetView zoomScale="85" zoomScaleNormal="85" workbookViewId="0">
      <selection activeCell="N17" sqref="N17"/>
    </sheetView>
  </sheetViews>
  <sheetFormatPr defaultColWidth="9.140625" defaultRowHeight="14.25" customHeight="1"/>
  <cols>
    <col min="1" max="1" width="16.85546875" style="78" customWidth="1"/>
    <col min="2" max="2" width="68.85546875" style="78" customWidth="1"/>
    <col min="3" max="3" width="12.7109375" style="78" customWidth="1"/>
    <col min="4" max="4" width="12.140625" style="78" customWidth="1"/>
    <col min="5" max="5" width="8" style="78" customWidth="1"/>
    <col min="6" max="6" width="13.42578125" style="78" bestFit="1" customWidth="1"/>
    <col min="7" max="7" width="9.140625" style="78"/>
    <col min="8" max="8" width="15.5703125" style="78" customWidth="1"/>
    <col min="9" max="9" width="9.28515625" style="393" bestFit="1" customWidth="1"/>
    <col min="10" max="10" width="21.5703125" style="78" customWidth="1"/>
    <col min="11" max="16384" width="9.140625" style="78"/>
  </cols>
  <sheetData>
    <row r="1" spans="1:10" ht="13.5" customHeight="1">
      <c r="A1" s="536" t="str">
        <f>QUANT!B4</f>
        <v>LOGRADOUROS</v>
      </c>
      <c r="B1" s="494" t="str">
        <f>QUANT!D4</f>
        <v>RUA C, RUA, E, RUA F, RUA J E RUA MONSIEUR</v>
      </c>
      <c r="C1" s="495"/>
      <c r="D1" s="495"/>
      <c r="E1" s="495"/>
      <c r="F1" s="495"/>
      <c r="G1" s="495"/>
      <c r="H1" s="495"/>
      <c r="I1" s="495"/>
      <c r="J1" s="496"/>
    </row>
    <row r="2" spans="1:10" ht="18.75" customHeight="1">
      <c r="A2" s="537"/>
      <c r="B2" s="497"/>
      <c r="C2" s="483"/>
      <c r="D2" s="483"/>
      <c r="E2" s="483"/>
      <c r="F2" s="483"/>
      <c r="G2" s="483"/>
      <c r="H2" s="483"/>
      <c r="I2" s="483"/>
      <c r="J2" s="498"/>
    </row>
    <row r="3" spans="1:10" ht="23.25" customHeight="1" thickBot="1">
      <c r="A3" s="282" t="str">
        <f>'ORÇA '!A24</f>
        <v>4.0</v>
      </c>
      <c r="B3" s="180" t="str">
        <f>'ORÇA '!D24</f>
        <v>TERRAPLENAGEM</v>
      </c>
      <c r="C3" s="181"/>
      <c r="D3" s="181"/>
      <c r="E3" s="181"/>
      <c r="F3" s="181"/>
      <c r="G3" s="181"/>
      <c r="H3" s="181"/>
      <c r="I3" s="385"/>
      <c r="J3" s="182"/>
    </row>
    <row r="4" spans="1:10" ht="23.25" customHeight="1" thickBot="1">
      <c r="A4" s="421" t="s">
        <v>177</v>
      </c>
      <c r="B4" s="183"/>
      <c r="C4" s="538" t="s">
        <v>464</v>
      </c>
      <c r="D4" s="539"/>
      <c r="E4" s="539"/>
      <c r="F4" s="539"/>
      <c r="G4" s="539"/>
      <c r="H4" s="540"/>
      <c r="I4" s="386"/>
      <c r="J4" s="184"/>
    </row>
    <row r="5" spans="1:10" ht="23.25" customHeight="1">
      <c r="A5" s="185" t="s">
        <v>16</v>
      </c>
      <c r="B5" s="185" t="s">
        <v>17</v>
      </c>
      <c r="C5" s="186" t="s">
        <v>18</v>
      </c>
      <c r="D5" s="186" t="s">
        <v>12</v>
      </c>
      <c r="E5" s="186" t="s">
        <v>19</v>
      </c>
      <c r="F5" s="187" t="s">
        <v>20</v>
      </c>
      <c r="G5" s="187"/>
      <c r="H5" s="188" t="s">
        <v>21</v>
      </c>
      <c r="I5" s="387" t="s">
        <v>22</v>
      </c>
      <c r="J5" s="185" t="s">
        <v>23</v>
      </c>
    </row>
    <row r="6" spans="1:10" ht="23.25" customHeight="1">
      <c r="A6" s="185"/>
      <c r="B6" s="185"/>
      <c r="C6" s="185"/>
      <c r="D6" s="185"/>
      <c r="E6" s="185"/>
      <c r="F6" s="285" t="s">
        <v>24</v>
      </c>
      <c r="G6" s="285" t="s">
        <v>11</v>
      </c>
      <c r="H6" s="190"/>
      <c r="I6" s="387"/>
      <c r="J6" s="185"/>
    </row>
    <row r="7" spans="1:10" ht="23.25" customHeight="1">
      <c r="A7" s="285" t="str">
        <f>QUANT!C25</f>
        <v>Comp. 4.2</v>
      </c>
      <c r="B7" s="191" t="str">
        <f>QUANT!E25</f>
        <v>Escavacao mecanica de material 1a. categoria, proveniente de corte de subleito (c/trator esteiras 160hp)</v>
      </c>
      <c r="C7" s="285" t="s">
        <v>25</v>
      </c>
      <c r="D7" s="192">
        <f>'TERRAP E PAVIM'!O22-('TERRAP E PAVIM'!P22*1.15)</f>
        <v>2297.1112500000004</v>
      </c>
      <c r="E7" s="285" t="s">
        <v>4</v>
      </c>
      <c r="F7" s="285">
        <v>1.84</v>
      </c>
      <c r="G7" s="285" t="s">
        <v>26</v>
      </c>
      <c r="H7" s="193">
        <f>D7*F7</f>
        <v>4226.6847000000007</v>
      </c>
      <c r="I7" s="388">
        <v>3.41</v>
      </c>
      <c r="J7" s="184">
        <f>H7*I7</f>
        <v>14412.994827000002</v>
      </c>
    </row>
    <row r="8" spans="1:10" ht="23.25" customHeight="1">
      <c r="A8" s="285" t="s">
        <v>15</v>
      </c>
      <c r="B8" s="194"/>
      <c r="C8" s="194"/>
      <c r="D8" s="194"/>
      <c r="E8" s="194"/>
      <c r="F8" s="194"/>
      <c r="G8" s="194"/>
      <c r="H8" s="194"/>
      <c r="I8" s="389"/>
      <c r="J8" s="195">
        <f>SUM(J7:J7)</f>
        <v>14412.994827000002</v>
      </c>
    </row>
    <row r="9" spans="1:10" ht="12" customHeight="1" thickBot="1">
      <c r="A9" s="196"/>
      <c r="B9" s="197"/>
      <c r="C9" s="197"/>
      <c r="D9" s="197"/>
      <c r="E9" s="197"/>
      <c r="F9" s="197"/>
      <c r="G9" s="197"/>
      <c r="H9" s="197"/>
      <c r="I9" s="390"/>
      <c r="J9" s="198"/>
    </row>
    <row r="10" spans="1:10" ht="23.25" customHeight="1" thickBot="1">
      <c r="A10" s="421" t="s">
        <v>178</v>
      </c>
      <c r="B10" s="183"/>
      <c r="C10" s="538" t="str">
        <f>C4</f>
        <v>BAIRRO: PARQUE DEL REY</v>
      </c>
      <c r="D10" s="539"/>
      <c r="E10" s="539"/>
      <c r="F10" s="539"/>
      <c r="G10" s="539"/>
      <c r="H10" s="540"/>
      <c r="I10" s="389"/>
      <c r="J10" s="184"/>
    </row>
    <row r="11" spans="1:10" ht="23.25" customHeight="1">
      <c r="A11" s="185" t="s">
        <v>16</v>
      </c>
      <c r="B11" s="185" t="s">
        <v>17</v>
      </c>
      <c r="C11" s="185" t="s">
        <v>18</v>
      </c>
      <c r="D11" s="185" t="s">
        <v>12</v>
      </c>
      <c r="E11" s="185" t="s">
        <v>19</v>
      </c>
      <c r="F11" s="285" t="s">
        <v>20</v>
      </c>
      <c r="G11" s="285"/>
      <c r="H11" s="190" t="s">
        <v>21</v>
      </c>
      <c r="I11" s="387" t="s">
        <v>22</v>
      </c>
      <c r="J11" s="185" t="s">
        <v>23</v>
      </c>
    </row>
    <row r="12" spans="1:10" ht="23.25" customHeight="1">
      <c r="A12" s="185"/>
      <c r="B12" s="185"/>
      <c r="C12" s="185"/>
      <c r="D12" s="185"/>
      <c r="E12" s="185"/>
      <c r="F12" s="285" t="s">
        <v>24</v>
      </c>
      <c r="G12" s="285" t="s">
        <v>11</v>
      </c>
      <c r="H12" s="190"/>
      <c r="I12" s="387"/>
      <c r="J12" s="185"/>
    </row>
    <row r="13" spans="1:10" ht="23.25" customHeight="1">
      <c r="A13" s="285" t="str">
        <f>A7</f>
        <v>Comp. 4.2</v>
      </c>
      <c r="B13" s="191" t="str">
        <f>B7</f>
        <v>Escavacao mecanica de material 1a. categoria, proveniente de corte de subleito (c/trator esteiras 160hp)</v>
      </c>
      <c r="C13" s="285" t="s">
        <v>25</v>
      </c>
      <c r="D13" s="199">
        <f>D7</f>
        <v>2297.1112500000004</v>
      </c>
      <c r="E13" s="285" t="s">
        <v>4</v>
      </c>
      <c r="F13" s="285">
        <v>1.84</v>
      </c>
      <c r="G13" s="285" t="s">
        <v>26</v>
      </c>
      <c r="H13" s="193">
        <f>D13*F13</f>
        <v>4226.6847000000007</v>
      </c>
      <c r="I13" s="388">
        <v>13.29</v>
      </c>
      <c r="J13" s="184">
        <f>H13*I13</f>
        <v>56172.639663000009</v>
      </c>
    </row>
    <row r="14" spans="1:10" ht="23.25" customHeight="1">
      <c r="A14" s="285" t="s">
        <v>15</v>
      </c>
      <c r="B14" s="194"/>
      <c r="C14" s="194"/>
      <c r="D14" s="194"/>
      <c r="E14" s="194"/>
      <c r="F14" s="194"/>
      <c r="G14" s="194"/>
      <c r="H14" s="194"/>
      <c r="I14" s="389"/>
      <c r="J14" s="195">
        <f>SUM(J13:J13)</f>
        <v>56172.639663000009</v>
      </c>
    </row>
    <row r="15" spans="1:10" ht="12" customHeight="1">
      <c r="A15" s="196"/>
      <c r="B15" s="200"/>
      <c r="C15" s="344"/>
      <c r="D15" s="344"/>
      <c r="E15" s="344"/>
      <c r="F15" s="344"/>
      <c r="G15" s="344"/>
      <c r="H15" s="344"/>
      <c r="I15" s="389"/>
      <c r="J15" s="195"/>
    </row>
    <row r="16" spans="1:10" ht="23.25" customHeight="1" thickBot="1">
      <c r="A16" s="201" t="str">
        <f>'ORÇA '!A33</f>
        <v>5.0</v>
      </c>
      <c r="B16" s="202" t="str">
        <f>'ORÇA '!D33</f>
        <v>PAVIMENTAÇÃO</v>
      </c>
      <c r="C16" s="203"/>
      <c r="D16" s="203"/>
      <c r="E16" s="203"/>
      <c r="F16" s="203"/>
      <c r="G16" s="203"/>
      <c r="H16" s="203"/>
      <c r="I16" s="391"/>
      <c r="J16" s="204"/>
    </row>
    <row r="17" spans="1:10" ht="23.25" customHeight="1" thickBot="1">
      <c r="A17" s="205" t="s">
        <v>175</v>
      </c>
      <c r="B17" s="205"/>
      <c r="C17" s="538" t="str">
        <f>C10</f>
        <v>BAIRRO: PARQUE DEL REY</v>
      </c>
      <c r="D17" s="539"/>
      <c r="E17" s="539"/>
      <c r="F17" s="539"/>
      <c r="G17" s="539"/>
      <c r="H17" s="540"/>
      <c r="I17" s="392"/>
      <c r="J17" s="205"/>
    </row>
    <row r="18" spans="1:10" ht="25.5">
      <c r="A18" s="185" t="s">
        <v>16</v>
      </c>
      <c r="B18" s="185" t="s">
        <v>17</v>
      </c>
      <c r="C18" s="185" t="s">
        <v>18</v>
      </c>
      <c r="D18" s="185" t="s">
        <v>12</v>
      </c>
      <c r="E18" s="185" t="s">
        <v>19</v>
      </c>
      <c r="F18" s="285" t="s">
        <v>20</v>
      </c>
      <c r="G18" s="285"/>
      <c r="H18" s="185" t="s">
        <v>21</v>
      </c>
      <c r="I18" s="387" t="s">
        <v>22</v>
      </c>
      <c r="J18" s="185" t="s">
        <v>23</v>
      </c>
    </row>
    <row r="19" spans="1:10" ht="17.25" customHeight="1">
      <c r="A19" s="185"/>
      <c r="B19" s="185"/>
      <c r="C19" s="185"/>
      <c r="D19" s="185"/>
      <c r="E19" s="185"/>
      <c r="F19" s="285" t="s">
        <v>24</v>
      </c>
      <c r="G19" s="285" t="s">
        <v>11</v>
      </c>
      <c r="H19" s="185"/>
      <c r="I19" s="387"/>
      <c r="J19" s="185"/>
    </row>
    <row r="20" spans="1:10" ht="38.25" customHeight="1">
      <c r="A20" s="285" t="str">
        <f>QUANT!$C$35</f>
        <v>Comp. 5.3</v>
      </c>
      <c r="B20" s="206" t="str">
        <f>QUANT!$E$35</f>
        <v>Execução e compactação de sub base com solo estabilizado granulometricamente - exclusive escavação, carga e transporte e solo. af_09/2017</v>
      </c>
      <c r="C20" s="285" t="s">
        <v>25</v>
      </c>
      <c r="D20" s="207">
        <f>QUANT!G35</f>
        <v>986.40000000000009</v>
      </c>
      <c r="E20" s="285" t="s">
        <v>4</v>
      </c>
      <c r="F20" s="285">
        <v>1.84</v>
      </c>
      <c r="G20" s="285" t="s">
        <v>26</v>
      </c>
      <c r="H20" s="208">
        <f>D20*F20</f>
        <v>1814.9760000000003</v>
      </c>
      <c r="I20" s="388">
        <v>3.41</v>
      </c>
      <c r="J20" s="209">
        <f>H20*I20</f>
        <v>6189.0681600000016</v>
      </c>
    </row>
    <row r="21" spans="1:10" ht="38.25" customHeight="1">
      <c r="A21" s="285" t="str">
        <f>QUANT!$C$36</f>
        <v>Comp. 5.4</v>
      </c>
      <c r="B21" s="206" t="str">
        <f>QUANT!$E$36</f>
        <v>Execução e compactação de base com solo estabilizado granulometricamente - exclusive escavação, carga e transporte e solo. af_09/2017</v>
      </c>
      <c r="C21" s="285" t="s">
        <v>25</v>
      </c>
      <c r="D21" s="207">
        <f>QUANT!G36</f>
        <v>1315.2</v>
      </c>
      <c r="E21" s="285" t="s">
        <v>4</v>
      </c>
      <c r="F21" s="285">
        <v>1.84</v>
      </c>
      <c r="G21" s="285" t="s">
        <v>26</v>
      </c>
      <c r="H21" s="208">
        <f>D21*F21</f>
        <v>2419.9680000000003</v>
      </c>
      <c r="I21" s="388">
        <f>I20</f>
        <v>3.41</v>
      </c>
      <c r="J21" s="209">
        <f>H21*I21</f>
        <v>8252.0908800000016</v>
      </c>
    </row>
    <row r="22" spans="1:10" ht="23.25" customHeight="1">
      <c r="A22" s="285" t="s">
        <v>15</v>
      </c>
      <c r="B22" s="194"/>
      <c r="C22" s="194"/>
      <c r="D22" s="194"/>
      <c r="E22" s="194"/>
      <c r="F22" s="194"/>
      <c r="G22" s="194"/>
      <c r="H22" s="194"/>
      <c r="I22" s="389"/>
      <c r="J22" s="195">
        <f>SUM(J20:J21)</f>
        <v>14441.159040000002</v>
      </c>
    </row>
    <row r="23" spans="1:10" ht="17.25" customHeight="1" thickBot="1">
      <c r="A23" s="201"/>
      <c r="B23" s="202"/>
      <c r="C23" s="203"/>
      <c r="D23" s="203"/>
      <c r="E23" s="203"/>
      <c r="F23" s="203"/>
      <c r="G23" s="203"/>
      <c r="H23" s="203"/>
      <c r="I23" s="391"/>
      <c r="J23" s="204"/>
    </row>
    <row r="24" spans="1:10" ht="23.25" customHeight="1" thickBot="1">
      <c r="A24" s="210" t="s">
        <v>174</v>
      </c>
      <c r="B24" s="210"/>
      <c r="C24" s="538" t="str">
        <f>C17</f>
        <v>BAIRRO: PARQUE DEL REY</v>
      </c>
      <c r="D24" s="539"/>
      <c r="E24" s="539"/>
      <c r="F24" s="539"/>
      <c r="G24" s="539"/>
      <c r="H24" s="540"/>
      <c r="I24" s="389"/>
      <c r="J24" s="184"/>
    </row>
    <row r="25" spans="1:10" ht="23.25" customHeight="1">
      <c r="A25" s="185" t="s">
        <v>16</v>
      </c>
      <c r="B25" s="185" t="s">
        <v>17</v>
      </c>
      <c r="C25" s="185" t="s">
        <v>18</v>
      </c>
      <c r="D25" s="185" t="s">
        <v>12</v>
      </c>
      <c r="E25" s="185" t="s">
        <v>19</v>
      </c>
      <c r="F25" s="285" t="s">
        <v>20</v>
      </c>
      <c r="G25" s="285"/>
      <c r="H25" s="185" t="s">
        <v>21</v>
      </c>
      <c r="I25" s="387" t="s">
        <v>22</v>
      </c>
      <c r="J25" s="185" t="s">
        <v>23</v>
      </c>
    </row>
    <row r="26" spans="1:10" ht="14.25" customHeight="1">
      <c r="A26" s="185"/>
      <c r="B26" s="185"/>
      <c r="C26" s="185"/>
      <c r="D26" s="185"/>
      <c r="E26" s="185"/>
      <c r="F26" s="285" t="s">
        <v>24</v>
      </c>
      <c r="G26" s="285" t="s">
        <v>11</v>
      </c>
      <c r="H26" s="185"/>
      <c r="I26" s="387"/>
      <c r="J26" s="185"/>
    </row>
    <row r="27" spans="1:10" ht="38.25" customHeight="1">
      <c r="A27" s="285" t="str">
        <f>QUANT!$C$35</f>
        <v>Comp. 5.3</v>
      </c>
      <c r="B27" s="206" t="str">
        <f>QUANT!$E$35</f>
        <v>Execução e compactação de sub base com solo estabilizado granulometricamente - exclusive escavação, carga e transporte e solo. af_09/2017</v>
      </c>
      <c r="C27" s="285" t="s">
        <v>25</v>
      </c>
      <c r="D27" s="211">
        <f>D20</f>
        <v>986.40000000000009</v>
      </c>
      <c r="E27" s="285" t="s">
        <v>4</v>
      </c>
      <c r="F27" s="285">
        <v>1.84</v>
      </c>
      <c r="G27" s="285" t="s">
        <v>26</v>
      </c>
      <c r="H27" s="193">
        <f>D27*F27</f>
        <v>1814.9760000000003</v>
      </c>
      <c r="I27" s="388">
        <v>13.29</v>
      </c>
      <c r="J27" s="184">
        <f>H27*I27</f>
        <v>24121.031040000002</v>
      </c>
    </row>
    <row r="28" spans="1:10" ht="38.25" customHeight="1">
      <c r="A28" s="285" t="str">
        <f>QUANT!$C$36</f>
        <v>Comp. 5.4</v>
      </c>
      <c r="B28" s="206" t="str">
        <f>QUANT!$E$36</f>
        <v>Execução e compactação de base com solo estabilizado granulometricamente - exclusive escavação, carga e transporte e solo. af_09/2017</v>
      </c>
      <c r="C28" s="285" t="s">
        <v>25</v>
      </c>
      <c r="D28" s="211">
        <f>D21</f>
        <v>1315.2</v>
      </c>
      <c r="E28" s="285" t="s">
        <v>4</v>
      </c>
      <c r="F28" s="285">
        <v>1.84</v>
      </c>
      <c r="G28" s="285" t="s">
        <v>26</v>
      </c>
      <c r="H28" s="193">
        <f>D28*F28</f>
        <v>2419.9680000000003</v>
      </c>
      <c r="I28" s="388">
        <v>13.29</v>
      </c>
      <c r="J28" s="184">
        <f>H28*I28</f>
        <v>32161.374720000003</v>
      </c>
    </row>
    <row r="29" spans="1:10" ht="23.25" customHeight="1">
      <c r="A29" s="285" t="s">
        <v>15</v>
      </c>
      <c r="B29" s="194"/>
      <c r="C29" s="194"/>
      <c r="D29" s="194"/>
      <c r="E29" s="194"/>
      <c r="F29" s="194"/>
      <c r="G29" s="194"/>
      <c r="H29" s="194"/>
      <c r="I29" s="389"/>
      <c r="J29" s="195">
        <f>SUM(J27:J28)</f>
        <v>56282.405760000009</v>
      </c>
    </row>
    <row r="30" spans="1:10" ht="14.25" customHeight="1" thickBot="1">
      <c r="A30" s="285"/>
      <c r="B30" s="194"/>
      <c r="C30" s="194"/>
      <c r="D30" s="194"/>
      <c r="E30" s="194"/>
      <c r="F30" s="194"/>
      <c r="G30" s="194"/>
      <c r="H30" s="194"/>
      <c r="I30" s="389"/>
      <c r="J30" s="184"/>
    </row>
    <row r="31" spans="1:10" ht="23.25" customHeight="1" thickBot="1">
      <c r="A31" s="205" t="s">
        <v>180</v>
      </c>
      <c r="B31" s="205"/>
      <c r="C31" s="538" t="str">
        <f>C24</f>
        <v>BAIRRO: PARQUE DEL REY</v>
      </c>
      <c r="D31" s="539"/>
      <c r="E31" s="539"/>
      <c r="F31" s="539"/>
      <c r="G31" s="539"/>
      <c r="H31" s="540"/>
      <c r="I31" s="392"/>
      <c r="J31" s="205"/>
    </row>
    <row r="32" spans="1:10" ht="25.5">
      <c r="A32" s="185" t="s">
        <v>16</v>
      </c>
      <c r="B32" s="185" t="s">
        <v>17</v>
      </c>
      <c r="C32" s="185" t="s">
        <v>18</v>
      </c>
      <c r="D32" s="185" t="s">
        <v>12</v>
      </c>
      <c r="E32" s="185" t="s">
        <v>19</v>
      </c>
      <c r="F32" s="285" t="s">
        <v>20</v>
      </c>
      <c r="G32" s="285"/>
      <c r="H32" s="185" t="s">
        <v>21</v>
      </c>
      <c r="I32" s="387" t="s">
        <v>22</v>
      </c>
      <c r="J32" s="185" t="s">
        <v>168</v>
      </c>
    </row>
    <row r="33" spans="1:10" ht="14.25" customHeight="1">
      <c r="A33" s="185"/>
      <c r="B33" s="185"/>
      <c r="C33" s="185"/>
      <c r="D33" s="185"/>
      <c r="E33" s="185"/>
      <c r="F33" s="285" t="s">
        <v>24</v>
      </c>
      <c r="G33" s="285" t="s">
        <v>11</v>
      </c>
      <c r="H33" s="185"/>
      <c r="I33" s="387"/>
      <c r="J33" s="185"/>
    </row>
    <row r="34" spans="1:10" ht="38.25">
      <c r="A34" s="212" t="str">
        <f>QUANT!C39</f>
        <v>Comp. 5.7</v>
      </c>
      <c r="B34" s="191" t="str">
        <f>QUANT!E39</f>
        <v>Construção de pavimento com aplicação de concreto betuminoso usinado a quente (cbuq), camada de rolamento, com espessura de 3,0 cm  exclusive transporte. af_03/2017</v>
      </c>
      <c r="C34" s="285" t="s">
        <v>58</v>
      </c>
      <c r="D34" s="211">
        <f>QUANT!G39</f>
        <v>157.82400000000001</v>
      </c>
      <c r="E34" s="285" t="s">
        <v>4</v>
      </c>
      <c r="F34" s="213">
        <v>1</v>
      </c>
      <c r="G34" s="285" t="s">
        <v>176</v>
      </c>
      <c r="H34" s="193">
        <f>D34*F34</f>
        <v>157.82400000000001</v>
      </c>
      <c r="I34" s="388">
        <v>11</v>
      </c>
      <c r="J34" s="184">
        <f>INT(H34*I34*100)/100</f>
        <v>1736.06</v>
      </c>
    </row>
    <row r="35" spans="1:10" ht="23.25" customHeight="1">
      <c r="A35" s="285" t="s">
        <v>15</v>
      </c>
      <c r="B35" s="194"/>
      <c r="C35" s="194"/>
      <c r="D35" s="194"/>
      <c r="E35" s="194"/>
      <c r="F35" s="194"/>
      <c r="G35" s="194"/>
      <c r="H35" s="194"/>
      <c r="I35" s="389"/>
      <c r="J35" s="195">
        <f>SUM(J34:J34)</f>
        <v>1736.06</v>
      </c>
    </row>
    <row r="36" spans="1:10" ht="14.25" customHeight="1">
      <c r="A36" s="285"/>
      <c r="B36" s="194"/>
      <c r="C36" s="194"/>
      <c r="D36" s="194"/>
      <c r="E36" s="194"/>
      <c r="F36" s="194"/>
      <c r="G36" s="194"/>
      <c r="H36" s="194"/>
      <c r="I36" s="389"/>
      <c r="J36" s="184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7">
    <mergeCell ref="A1:A2"/>
    <mergeCell ref="C4:H4"/>
    <mergeCell ref="B1:J2"/>
    <mergeCell ref="C31:H31"/>
    <mergeCell ref="C10:H10"/>
    <mergeCell ref="C17:H17"/>
    <mergeCell ref="C24:H24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Y44"/>
  <sheetViews>
    <sheetView zoomScale="90" zoomScaleNormal="90" workbookViewId="0">
      <selection activeCell="AC25" sqref="AC25"/>
    </sheetView>
  </sheetViews>
  <sheetFormatPr defaultColWidth="9.140625" defaultRowHeight="12.75"/>
  <cols>
    <col min="1" max="1" width="5.85546875" style="35" customWidth="1"/>
    <col min="2" max="2" width="6.140625" style="35" customWidth="1"/>
    <col min="3" max="3" width="28.5703125" style="35" customWidth="1"/>
    <col min="4" max="4" width="9.28515625" style="35" customWidth="1"/>
    <col min="5" max="5" width="13.85546875" style="35" customWidth="1"/>
    <col min="6" max="23" width="6.7109375" style="35" customWidth="1"/>
    <col min="24" max="24" width="12.5703125" style="35" bestFit="1" customWidth="1"/>
    <col min="25" max="25" width="18.7109375" style="35" customWidth="1"/>
    <col min="26" max="16384" width="9.140625" style="35"/>
  </cols>
  <sheetData>
    <row r="1" spans="1:25" ht="12.75" customHeight="1">
      <c r="A1" s="565" t="s">
        <v>182</v>
      </c>
      <c r="B1" s="566"/>
      <c r="C1" s="566"/>
      <c r="D1" s="566"/>
      <c r="E1" s="567"/>
      <c r="F1" s="574" t="s">
        <v>41</v>
      </c>
      <c r="G1" s="575"/>
      <c r="H1" s="575"/>
      <c r="I1" s="575"/>
      <c r="J1" s="575"/>
      <c r="K1" s="575"/>
      <c r="L1" s="575"/>
      <c r="M1" s="575"/>
      <c r="N1" s="575"/>
      <c r="O1" s="575"/>
      <c r="P1" s="575"/>
      <c r="Q1" s="575"/>
      <c r="R1" s="575"/>
      <c r="S1" s="575"/>
      <c r="T1" s="575"/>
      <c r="U1" s="575"/>
      <c r="V1" s="575"/>
      <c r="W1" s="576"/>
    </row>
    <row r="2" spans="1:25" ht="12.75" customHeight="1">
      <c r="A2" s="568"/>
      <c r="B2" s="569"/>
      <c r="C2" s="569"/>
      <c r="D2" s="569"/>
      <c r="E2" s="570"/>
      <c r="F2" s="577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  <c r="T2" s="578"/>
      <c r="U2" s="578"/>
      <c r="V2" s="578"/>
      <c r="W2" s="579"/>
    </row>
    <row r="3" spans="1:25" ht="12.75" customHeight="1">
      <c r="A3" s="571"/>
      <c r="B3" s="572"/>
      <c r="C3" s="572"/>
      <c r="D3" s="572"/>
      <c r="E3" s="573"/>
      <c r="F3" s="580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2"/>
    </row>
    <row r="4" spans="1:25" ht="18.75">
      <c r="A4" s="583" t="s">
        <v>464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5"/>
    </row>
    <row r="5" spans="1:25" ht="15.75">
      <c r="A5" s="586"/>
      <c r="B5" s="587"/>
      <c r="C5" s="587"/>
      <c r="D5" s="587"/>
      <c r="E5" s="588"/>
      <c r="F5" s="589" t="s">
        <v>126</v>
      </c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90"/>
    </row>
    <row r="6" spans="1:25">
      <c r="A6" s="154" t="s">
        <v>127</v>
      </c>
      <c r="B6" s="591" t="s">
        <v>128</v>
      </c>
      <c r="C6" s="592"/>
      <c r="D6" s="154" t="s">
        <v>129</v>
      </c>
      <c r="E6" s="154" t="s">
        <v>130</v>
      </c>
      <c r="F6" s="593">
        <v>30</v>
      </c>
      <c r="G6" s="593"/>
      <c r="H6" s="593"/>
      <c r="I6" s="593">
        <v>60</v>
      </c>
      <c r="J6" s="593"/>
      <c r="K6" s="593"/>
      <c r="L6" s="593">
        <v>90</v>
      </c>
      <c r="M6" s="593"/>
      <c r="N6" s="593"/>
      <c r="O6" s="594">
        <v>120</v>
      </c>
      <c r="P6" s="593"/>
      <c r="Q6" s="593"/>
      <c r="R6" s="594">
        <v>150</v>
      </c>
      <c r="S6" s="593"/>
      <c r="T6" s="593"/>
      <c r="U6" s="593">
        <v>180</v>
      </c>
      <c r="V6" s="593"/>
      <c r="W6" s="593"/>
    </row>
    <row r="7" spans="1:25">
      <c r="A7" s="595" t="str">
        <f>RESUMO!B9</f>
        <v>1.0</v>
      </c>
      <c r="B7" s="597" t="str">
        <f>RESUMO!C9</f>
        <v>SERVIÇOS PRELIMINARES</v>
      </c>
      <c r="C7" s="598"/>
      <c r="D7" s="601">
        <f>E7/$E$40*100</f>
        <v>5.7092148135768541</v>
      </c>
      <c r="E7" s="603">
        <f>RESUMO!D9</f>
        <v>45940.32</v>
      </c>
      <c r="F7" s="541">
        <f>$E$7*F9</f>
        <v>20673.144</v>
      </c>
      <c r="G7" s="542"/>
      <c r="H7" s="543"/>
      <c r="I7" s="541">
        <f>$E$7*I9</f>
        <v>13782.096</v>
      </c>
      <c r="J7" s="542"/>
      <c r="K7" s="543"/>
      <c r="L7" s="541">
        <f>$E$7*L9</f>
        <v>4594.0320000000002</v>
      </c>
      <c r="M7" s="542"/>
      <c r="N7" s="543"/>
      <c r="O7" s="541">
        <f>$E$7*O9</f>
        <v>2297.0160000000001</v>
      </c>
      <c r="P7" s="542"/>
      <c r="Q7" s="543"/>
      <c r="R7" s="541">
        <f>$E$7*R9</f>
        <v>2297.0160000000001</v>
      </c>
      <c r="S7" s="542"/>
      <c r="T7" s="543"/>
      <c r="U7" s="541">
        <f>$E$7*U9</f>
        <v>2297.0160000000001</v>
      </c>
      <c r="V7" s="542"/>
      <c r="W7" s="543"/>
      <c r="X7" s="214">
        <f>SUM(F7:W7)</f>
        <v>45940.320000000007</v>
      </c>
      <c r="Y7" s="214">
        <f>X7-E7</f>
        <v>0</v>
      </c>
    </row>
    <row r="8" spans="1:25">
      <c r="A8" s="596"/>
      <c r="B8" s="599"/>
      <c r="C8" s="600"/>
      <c r="D8" s="602"/>
      <c r="E8" s="604"/>
      <c r="F8" s="606"/>
      <c r="G8" s="607"/>
      <c r="H8" s="608"/>
      <c r="I8" s="215"/>
      <c r="J8" s="215"/>
      <c r="K8" s="216"/>
      <c r="L8" s="217"/>
      <c r="M8" s="215"/>
      <c r="N8" s="216"/>
      <c r="O8" s="215"/>
      <c r="P8" s="215"/>
      <c r="Q8" s="216"/>
      <c r="R8" s="215"/>
      <c r="S8" s="215"/>
      <c r="T8" s="215"/>
      <c r="U8" s="606"/>
      <c r="V8" s="607"/>
      <c r="W8" s="608"/>
    </row>
    <row r="9" spans="1:25">
      <c r="A9" s="596"/>
      <c r="B9" s="599"/>
      <c r="C9" s="600"/>
      <c r="D9" s="602"/>
      <c r="E9" s="605"/>
      <c r="F9" s="544">
        <v>0.45</v>
      </c>
      <c r="G9" s="545"/>
      <c r="H9" s="546"/>
      <c r="I9" s="544">
        <v>0.3</v>
      </c>
      <c r="J9" s="545"/>
      <c r="K9" s="546"/>
      <c r="L9" s="544">
        <v>0.1</v>
      </c>
      <c r="M9" s="545"/>
      <c r="N9" s="546"/>
      <c r="O9" s="544">
        <v>0.05</v>
      </c>
      <c r="P9" s="545"/>
      <c r="Q9" s="546"/>
      <c r="R9" s="544">
        <v>0.05</v>
      </c>
      <c r="S9" s="545"/>
      <c r="T9" s="546"/>
      <c r="U9" s="544">
        <v>0.05</v>
      </c>
      <c r="V9" s="545"/>
      <c r="W9" s="546"/>
      <c r="X9" s="218">
        <f>SUM(F9:W9)</f>
        <v>1</v>
      </c>
    </row>
    <row r="10" spans="1:25">
      <c r="A10" s="595" t="str">
        <f>RESUMO!B12</f>
        <v>2.0</v>
      </c>
      <c r="B10" s="597" t="str">
        <f>RESUMO!C12</f>
        <v>ADMINISTRAÇÃO LOCAL</v>
      </c>
      <c r="C10" s="598"/>
      <c r="D10" s="601">
        <f>E10/$E$40*100</f>
        <v>3.3128749589878286</v>
      </c>
      <c r="E10" s="603">
        <f>RESUMO!D12</f>
        <v>26657.7</v>
      </c>
      <c r="F10" s="541">
        <f>$E$10*F12</f>
        <v>4665.0974999999999</v>
      </c>
      <c r="G10" s="542"/>
      <c r="H10" s="543"/>
      <c r="I10" s="541">
        <f>$E$10*I12</f>
        <v>4398.5205000000005</v>
      </c>
      <c r="J10" s="542"/>
      <c r="K10" s="543"/>
      <c r="L10" s="541">
        <f>$E$10*L12</f>
        <v>4398.5205000000005</v>
      </c>
      <c r="M10" s="542"/>
      <c r="N10" s="543"/>
      <c r="O10" s="541">
        <f>$E$10*O12</f>
        <v>4398.5205000000005</v>
      </c>
      <c r="P10" s="542"/>
      <c r="Q10" s="543"/>
      <c r="R10" s="541">
        <f>$E$10*R12</f>
        <v>4398.5205000000005</v>
      </c>
      <c r="S10" s="542"/>
      <c r="T10" s="543"/>
      <c r="U10" s="541">
        <f>$E$10*U12</f>
        <v>4398.5205000000005</v>
      </c>
      <c r="V10" s="542"/>
      <c r="W10" s="543"/>
      <c r="X10" s="214">
        <f>SUM(F10:W10)</f>
        <v>26657.699999999997</v>
      </c>
      <c r="Y10" s="214">
        <f>X10-E10</f>
        <v>0</v>
      </c>
    </row>
    <row r="11" spans="1:25">
      <c r="A11" s="596"/>
      <c r="B11" s="599"/>
      <c r="C11" s="600"/>
      <c r="D11" s="602"/>
      <c r="E11" s="604"/>
      <c r="F11" s="606"/>
      <c r="G11" s="607"/>
      <c r="H11" s="608"/>
      <c r="I11" s="215"/>
      <c r="J11" s="215"/>
      <c r="K11" s="216"/>
      <c r="L11" s="217"/>
      <c r="M11" s="215"/>
      <c r="N11" s="216"/>
      <c r="O11" s="215"/>
      <c r="P11" s="215"/>
      <c r="Q11" s="216"/>
      <c r="R11" s="215"/>
      <c r="S11" s="215"/>
      <c r="T11" s="215"/>
      <c r="U11" s="606"/>
      <c r="V11" s="607"/>
      <c r="W11" s="608"/>
    </row>
    <row r="12" spans="1:25">
      <c r="A12" s="596"/>
      <c r="B12" s="599"/>
      <c r="C12" s="600"/>
      <c r="D12" s="602"/>
      <c r="E12" s="605"/>
      <c r="F12" s="544">
        <v>0.17499999999999999</v>
      </c>
      <c r="G12" s="545"/>
      <c r="H12" s="546"/>
      <c r="I12" s="544">
        <v>0.16500000000000001</v>
      </c>
      <c r="J12" s="545"/>
      <c r="K12" s="546"/>
      <c r="L12" s="544">
        <v>0.16500000000000001</v>
      </c>
      <c r="M12" s="545"/>
      <c r="N12" s="546"/>
      <c r="O12" s="544">
        <v>0.16500000000000001</v>
      </c>
      <c r="P12" s="545"/>
      <c r="Q12" s="546"/>
      <c r="R12" s="544">
        <v>0.16500000000000001</v>
      </c>
      <c r="S12" s="545"/>
      <c r="T12" s="546"/>
      <c r="U12" s="544">
        <v>0.16500000000000001</v>
      </c>
      <c r="V12" s="545"/>
      <c r="W12" s="546"/>
      <c r="X12" s="218">
        <f>SUM(F12:W12)</f>
        <v>1</v>
      </c>
    </row>
    <row r="13" spans="1:25" ht="12.75" customHeight="1">
      <c r="A13" s="595" t="str">
        <f>RESUMO!B15</f>
        <v>3.0</v>
      </c>
      <c r="B13" s="609" t="str">
        <f>RESUMO!C15</f>
        <v>ENSAIOS TECNOLÓGICOS DE SOLO E ASFALTO</v>
      </c>
      <c r="C13" s="610"/>
      <c r="D13" s="601">
        <f>E13/$E$40*100</f>
        <v>2.0210492089256951</v>
      </c>
      <c r="E13" s="603">
        <f>RESUMO!D15</f>
        <v>16262.770000000002</v>
      </c>
      <c r="F13" s="541">
        <f>$E$13*F15</f>
        <v>1626.2770000000003</v>
      </c>
      <c r="G13" s="542"/>
      <c r="H13" s="543"/>
      <c r="I13" s="541">
        <f>$E$13*I15</f>
        <v>2927.2986000000001</v>
      </c>
      <c r="J13" s="542"/>
      <c r="K13" s="543"/>
      <c r="L13" s="541">
        <f>$E$13*L15</f>
        <v>2927.2986000000001</v>
      </c>
      <c r="M13" s="542"/>
      <c r="N13" s="543"/>
      <c r="O13" s="541">
        <f>$E$13*O15</f>
        <v>2927.2986000000001</v>
      </c>
      <c r="P13" s="542"/>
      <c r="Q13" s="543"/>
      <c r="R13" s="541">
        <f>$E$13*R15</f>
        <v>2927.2986000000001</v>
      </c>
      <c r="S13" s="542"/>
      <c r="T13" s="543"/>
      <c r="U13" s="541">
        <f>$E$13*U15</f>
        <v>2927.2986000000001</v>
      </c>
      <c r="V13" s="542"/>
      <c r="W13" s="543"/>
      <c r="X13" s="214">
        <f>SUM(F13:W13)</f>
        <v>16262.77</v>
      </c>
      <c r="Y13" s="214">
        <f>X13-E13</f>
        <v>0</v>
      </c>
    </row>
    <row r="14" spans="1:25">
      <c r="A14" s="596"/>
      <c r="B14" s="611"/>
      <c r="C14" s="612"/>
      <c r="D14" s="602"/>
      <c r="E14" s="604"/>
      <c r="F14" s="606"/>
      <c r="G14" s="607"/>
      <c r="H14" s="608"/>
      <c r="I14" s="215"/>
      <c r="J14" s="215"/>
      <c r="K14" s="216"/>
      <c r="L14" s="217"/>
      <c r="M14" s="215"/>
      <c r="N14" s="216"/>
      <c r="O14" s="215"/>
      <c r="P14" s="215"/>
      <c r="Q14" s="216"/>
      <c r="R14" s="215"/>
      <c r="S14" s="215"/>
      <c r="T14" s="215"/>
      <c r="U14" s="606"/>
      <c r="V14" s="607"/>
      <c r="W14" s="608"/>
    </row>
    <row r="15" spans="1:25">
      <c r="A15" s="596"/>
      <c r="B15" s="611"/>
      <c r="C15" s="612"/>
      <c r="D15" s="602"/>
      <c r="E15" s="605"/>
      <c r="F15" s="544">
        <v>0.1</v>
      </c>
      <c r="G15" s="545"/>
      <c r="H15" s="546"/>
      <c r="I15" s="544">
        <v>0.18</v>
      </c>
      <c r="J15" s="545"/>
      <c r="K15" s="546"/>
      <c r="L15" s="544">
        <v>0.18</v>
      </c>
      <c r="M15" s="545"/>
      <c r="N15" s="546"/>
      <c r="O15" s="544">
        <v>0.18</v>
      </c>
      <c r="P15" s="545"/>
      <c r="Q15" s="546"/>
      <c r="R15" s="544">
        <v>0.18</v>
      </c>
      <c r="S15" s="545"/>
      <c r="T15" s="546"/>
      <c r="U15" s="544">
        <v>0.18</v>
      </c>
      <c r="V15" s="545"/>
      <c r="W15" s="546"/>
      <c r="X15" s="218">
        <f>SUM(F15:W15)</f>
        <v>1</v>
      </c>
    </row>
    <row r="16" spans="1:25">
      <c r="A16" s="595" t="str">
        <f>RESUMO!B18</f>
        <v>4.0</v>
      </c>
      <c r="B16" s="597" t="str">
        <f>RESUMO!C18</f>
        <v>TERRAPLENAGEM</v>
      </c>
      <c r="C16" s="598"/>
      <c r="D16" s="601">
        <f>E16/$E$40*100</f>
        <v>13.320125511876194</v>
      </c>
      <c r="E16" s="603">
        <f>RESUMO!D18</f>
        <v>107183.01000000001</v>
      </c>
      <c r="F16" s="541">
        <f>$E$16*F18</f>
        <v>10718.301000000001</v>
      </c>
      <c r="G16" s="542"/>
      <c r="H16" s="543"/>
      <c r="I16" s="541">
        <f>$E$16*I18</f>
        <v>32154.903000000002</v>
      </c>
      <c r="J16" s="542"/>
      <c r="K16" s="543"/>
      <c r="L16" s="541">
        <f>$E$16*L18</f>
        <v>32154.903000000002</v>
      </c>
      <c r="M16" s="542"/>
      <c r="N16" s="543"/>
      <c r="O16" s="541">
        <f>$E$16*O18</f>
        <v>32154.903000000002</v>
      </c>
      <c r="P16" s="542"/>
      <c r="Q16" s="543"/>
      <c r="R16" s="541"/>
      <c r="S16" s="542"/>
      <c r="T16" s="543"/>
      <c r="U16" s="541"/>
      <c r="V16" s="542"/>
      <c r="W16" s="543"/>
      <c r="X16" s="214">
        <f>SUM(F16:W16)</f>
        <v>107183.01000000001</v>
      </c>
    </row>
    <row r="17" spans="1:25">
      <c r="A17" s="596"/>
      <c r="B17" s="599"/>
      <c r="C17" s="600"/>
      <c r="D17" s="602"/>
      <c r="E17" s="604"/>
      <c r="F17" s="606"/>
      <c r="G17" s="607"/>
      <c r="H17" s="608"/>
      <c r="I17" s="215"/>
      <c r="J17" s="215"/>
      <c r="K17" s="216"/>
      <c r="L17" s="217"/>
      <c r="M17" s="215"/>
      <c r="N17" s="216"/>
      <c r="O17" s="215"/>
      <c r="P17" s="215"/>
      <c r="Q17" s="216"/>
      <c r="R17" s="219"/>
      <c r="S17" s="219"/>
      <c r="T17" s="219"/>
      <c r="U17" s="547"/>
      <c r="V17" s="548"/>
      <c r="W17" s="549"/>
    </row>
    <row r="18" spans="1:25">
      <c r="A18" s="596"/>
      <c r="B18" s="599"/>
      <c r="C18" s="600"/>
      <c r="D18" s="602"/>
      <c r="E18" s="605"/>
      <c r="F18" s="544">
        <v>0.1</v>
      </c>
      <c r="G18" s="545"/>
      <c r="H18" s="546"/>
      <c r="I18" s="544">
        <v>0.3</v>
      </c>
      <c r="J18" s="545"/>
      <c r="K18" s="546"/>
      <c r="L18" s="544">
        <v>0.3</v>
      </c>
      <c r="M18" s="545"/>
      <c r="N18" s="546"/>
      <c r="O18" s="544">
        <v>0.3</v>
      </c>
      <c r="P18" s="545"/>
      <c r="Q18" s="546"/>
      <c r="R18" s="544"/>
      <c r="S18" s="545"/>
      <c r="T18" s="546"/>
      <c r="U18" s="544"/>
      <c r="V18" s="545"/>
      <c r="W18" s="546"/>
      <c r="X18" s="218">
        <f>SUM(F18:W18)</f>
        <v>1</v>
      </c>
    </row>
    <row r="19" spans="1:25">
      <c r="A19" s="595" t="str">
        <f>RESUMO!B21</f>
        <v>5.0</v>
      </c>
      <c r="B19" s="597" t="str">
        <f>RESUMO!C21</f>
        <v>PAVIMENTAÇÃO</v>
      </c>
      <c r="C19" s="598"/>
      <c r="D19" s="601">
        <f>E19/$E$40*100</f>
        <v>62.249376194333259</v>
      </c>
      <c r="E19" s="603">
        <f>RESUMO!D21</f>
        <v>500901.85000000009</v>
      </c>
      <c r="F19" s="541">
        <f>$E$19*F21</f>
        <v>25045.092500000006</v>
      </c>
      <c r="G19" s="542"/>
      <c r="H19" s="543"/>
      <c r="I19" s="541">
        <f>$E$19*I21</f>
        <v>125225.46250000002</v>
      </c>
      <c r="J19" s="542"/>
      <c r="K19" s="543"/>
      <c r="L19" s="541">
        <f>$E$19*L21</f>
        <v>175315.64750000002</v>
      </c>
      <c r="M19" s="542"/>
      <c r="N19" s="543"/>
      <c r="O19" s="541">
        <f>$E$19*O21</f>
        <v>175315.64750000002</v>
      </c>
      <c r="P19" s="542"/>
      <c r="Q19" s="543"/>
      <c r="R19" s="550"/>
      <c r="S19" s="551"/>
      <c r="T19" s="552"/>
      <c r="U19" s="541"/>
      <c r="V19" s="542"/>
      <c r="W19" s="543"/>
      <c r="X19" s="214">
        <f>SUM(F19:W19)</f>
        <v>500901.85000000003</v>
      </c>
      <c r="Y19" s="214">
        <f>X19-E19</f>
        <v>0</v>
      </c>
    </row>
    <row r="20" spans="1:25">
      <c r="A20" s="596"/>
      <c r="B20" s="599"/>
      <c r="C20" s="600"/>
      <c r="D20" s="602"/>
      <c r="E20" s="604"/>
      <c r="F20" s="606"/>
      <c r="G20" s="607"/>
      <c r="H20" s="608"/>
      <c r="I20" s="215"/>
      <c r="J20" s="215"/>
      <c r="K20" s="216"/>
      <c r="L20" s="217"/>
      <c r="M20" s="215"/>
      <c r="N20" s="216"/>
      <c r="O20" s="215"/>
      <c r="P20" s="215"/>
      <c r="Q20" s="216"/>
      <c r="R20" s="219"/>
      <c r="S20" s="219"/>
      <c r="T20" s="219"/>
      <c r="U20" s="220"/>
      <c r="V20" s="219"/>
      <c r="W20" s="221"/>
    </row>
    <row r="21" spans="1:25">
      <c r="A21" s="596"/>
      <c r="B21" s="599"/>
      <c r="C21" s="600"/>
      <c r="D21" s="602"/>
      <c r="E21" s="605"/>
      <c r="F21" s="544">
        <v>0.05</v>
      </c>
      <c r="G21" s="545"/>
      <c r="H21" s="546"/>
      <c r="I21" s="544">
        <v>0.25</v>
      </c>
      <c r="J21" s="545"/>
      <c r="K21" s="546"/>
      <c r="L21" s="544">
        <v>0.35</v>
      </c>
      <c r="M21" s="545"/>
      <c r="N21" s="546"/>
      <c r="O21" s="544">
        <v>0.35</v>
      </c>
      <c r="P21" s="545"/>
      <c r="Q21" s="546"/>
      <c r="R21" s="556"/>
      <c r="S21" s="557"/>
      <c r="T21" s="558"/>
      <c r="U21" s="559"/>
      <c r="V21" s="560"/>
      <c r="W21" s="561"/>
      <c r="X21" s="218">
        <f>SUM(F21:W21)</f>
        <v>0.99999999999999989</v>
      </c>
    </row>
    <row r="22" spans="1:25">
      <c r="A22" s="595" t="str">
        <f>RESUMO!B24</f>
        <v>6.0</v>
      </c>
      <c r="B22" s="597" t="str">
        <f>RESUMO!C24</f>
        <v>SINALIZAÇÃO HORIZONTAL/VERTICAL</v>
      </c>
      <c r="C22" s="598"/>
      <c r="D22" s="222"/>
      <c r="E22" s="603">
        <f>RESUMO!D24</f>
        <v>13472.099999999999</v>
      </c>
      <c r="F22" s="562"/>
      <c r="G22" s="563"/>
      <c r="H22" s="564"/>
      <c r="I22" s="550"/>
      <c r="J22" s="551"/>
      <c r="K22" s="552"/>
      <c r="L22" s="550"/>
      <c r="M22" s="551"/>
      <c r="N22" s="552"/>
      <c r="O22" s="550"/>
      <c r="P22" s="551"/>
      <c r="Q22" s="552"/>
      <c r="R22" s="550">
        <f>$E$22*R24</f>
        <v>2694.42</v>
      </c>
      <c r="S22" s="551"/>
      <c r="T22" s="552"/>
      <c r="U22" s="550">
        <f>$E$22*U24</f>
        <v>10777.68</v>
      </c>
      <c r="V22" s="551"/>
      <c r="W22" s="552"/>
      <c r="X22" s="214">
        <f>SUM(F22:W22)</f>
        <v>13472.1</v>
      </c>
      <c r="Y22" s="214">
        <f>X22-E22</f>
        <v>0</v>
      </c>
    </row>
    <row r="23" spans="1:25">
      <c r="A23" s="596"/>
      <c r="B23" s="599"/>
      <c r="C23" s="600"/>
      <c r="D23" s="223">
        <f>E22/$E$40*100</f>
        <v>1.674239815699776</v>
      </c>
      <c r="E23" s="604"/>
      <c r="F23" s="224"/>
      <c r="G23" s="225"/>
      <c r="H23" s="225"/>
      <c r="I23" s="219"/>
      <c r="J23" s="219"/>
      <c r="K23" s="221"/>
      <c r="L23" s="220"/>
      <c r="M23" s="219"/>
      <c r="N23" s="221"/>
      <c r="O23" s="219"/>
      <c r="P23" s="219"/>
      <c r="Q23" s="221"/>
      <c r="R23" s="215"/>
      <c r="S23" s="215"/>
      <c r="T23" s="215"/>
      <c r="U23" s="217"/>
      <c r="V23" s="215"/>
      <c r="W23" s="216"/>
    </row>
    <row r="24" spans="1:25">
      <c r="A24" s="596"/>
      <c r="B24" s="599"/>
      <c r="C24" s="600"/>
      <c r="D24" s="226"/>
      <c r="E24" s="605"/>
      <c r="F24" s="553"/>
      <c r="G24" s="554"/>
      <c r="H24" s="555"/>
      <c r="I24" s="556"/>
      <c r="J24" s="557"/>
      <c r="K24" s="558"/>
      <c r="L24" s="556"/>
      <c r="M24" s="557"/>
      <c r="N24" s="558"/>
      <c r="O24" s="556"/>
      <c r="P24" s="557"/>
      <c r="Q24" s="558"/>
      <c r="R24" s="556">
        <v>0.2</v>
      </c>
      <c r="S24" s="557"/>
      <c r="T24" s="558"/>
      <c r="U24" s="559">
        <v>0.8</v>
      </c>
      <c r="V24" s="560"/>
      <c r="W24" s="561"/>
      <c r="X24" s="218">
        <f>SUM(F24:W24)</f>
        <v>1</v>
      </c>
    </row>
    <row r="25" spans="1:25">
      <c r="A25" s="595" t="str">
        <f>RESUMO!B27</f>
        <v>7.0</v>
      </c>
      <c r="B25" s="597" t="str">
        <f>RESUMO!C28</f>
        <v>OBRAS COMPLEMENTARES</v>
      </c>
      <c r="C25" s="598"/>
      <c r="D25" s="601">
        <f>E25/$E$40*100</f>
        <v>11.713119496600385</v>
      </c>
      <c r="E25" s="603">
        <f>RESUMO!D27</f>
        <v>94251.92</v>
      </c>
      <c r="F25" s="562"/>
      <c r="G25" s="563"/>
      <c r="H25" s="564"/>
      <c r="I25" s="550"/>
      <c r="J25" s="551"/>
      <c r="K25" s="552"/>
      <c r="L25" s="550"/>
      <c r="M25" s="551"/>
      <c r="N25" s="552"/>
      <c r="O25" s="550">
        <f>$E$25*O27</f>
        <v>18850.384000000002</v>
      </c>
      <c r="P25" s="551"/>
      <c r="Q25" s="552"/>
      <c r="R25" s="550">
        <f>$E$25*R27</f>
        <v>37700.768000000004</v>
      </c>
      <c r="S25" s="551"/>
      <c r="T25" s="552"/>
      <c r="U25" s="550">
        <f>$E$25*U27</f>
        <v>37700.768000000004</v>
      </c>
      <c r="V25" s="551"/>
      <c r="W25" s="552"/>
      <c r="X25" s="214">
        <f>SUM(F25:W25)</f>
        <v>94251.920000000013</v>
      </c>
      <c r="Y25" s="214">
        <f>X25-E25</f>
        <v>0</v>
      </c>
    </row>
    <row r="26" spans="1:25">
      <c r="A26" s="596"/>
      <c r="B26" s="599"/>
      <c r="C26" s="600"/>
      <c r="D26" s="602"/>
      <c r="E26" s="604"/>
      <c r="F26" s="224"/>
      <c r="G26" s="225"/>
      <c r="H26" s="225"/>
      <c r="I26" s="219"/>
      <c r="J26" s="219"/>
      <c r="K26" s="221"/>
      <c r="L26" s="220"/>
      <c r="M26" s="219"/>
      <c r="N26" s="221"/>
      <c r="O26" s="215"/>
      <c r="P26" s="215"/>
      <c r="Q26" s="216"/>
      <c r="R26" s="215"/>
      <c r="S26" s="215"/>
      <c r="T26" s="215"/>
      <c r="U26" s="217"/>
      <c r="V26" s="215"/>
      <c r="W26" s="216"/>
    </row>
    <row r="27" spans="1:25">
      <c r="A27" s="596"/>
      <c r="B27" s="599"/>
      <c r="C27" s="600"/>
      <c r="D27" s="602"/>
      <c r="E27" s="605"/>
      <c r="F27" s="553"/>
      <c r="G27" s="554"/>
      <c r="H27" s="555"/>
      <c r="I27" s="556"/>
      <c r="J27" s="557"/>
      <c r="K27" s="558"/>
      <c r="L27" s="556"/>
      <c r="M27" s="557"/>
      <c r="N27" s="558"/>
      <c r="O27" s="556">
        <v>0.2</v>
      </c>
      <c r="P27" s="557"/>
      <c r="Q27" s="558"/>
      <c r="R27" s="556">
        <v>0.4</v>
      </c>
      <c r="S27" s="557"/>
      <c r="T27" s="558"/>
      <c r="U27" s="559">
        <v>0.4</v>
      </c>
      <c r="V27" s="560"/>
      <c r="W27" s="561"/>
      <c r="X27" s="218">
        <f>SUM(F27:W27)</f>
        <v>1</v>
      </c>
    </row>
    <row r="28" spans="1:25">
      <c r="A28" s="595">
        <f>RESUMO!B30</f>
        <v>0</v>
      </c>
      <c r="B28" s="597">
        <f>RESUMO!C30</f>
        <v>0</v>
      </c>
      <c r="C28" s="598"/>
      <c r="D28" s="601">
        <f>E28/$E$40*100</f>
        <v>0</v>
      </c>
      <c r="E28" s="603">
        <f>RESUMO!D30</f>
        <v>0</v>
      </c>
      <c r="F28" s="562"/>
      <c r="G28" s="563"/>
      <c r="H28" s="564"/>
      <c r="I28" s="550">
        <f>$E$28*I30</f>
        <v>0</v>
      </c>
      <c r="J28" s="551"/>
      <c r="K28" s="552"/>
      <c r="L28" s="550">
        <f>$E$28*L30</f>
        <v>0</v>
      </c>
      <c r="M28" s="551"/>
      <c r="N28" s="552"/>
      <c r="O28" s="550">
        <f>$E$28*O30</f>
        <v>0</v>
      </c>
      <c r="P28" s="551"/>
      <c r="Q28" s="552"/>
      <c r="R28" s="550">
        <f>$E$28*R30</f>
        <v>0</v>
      </c>
      <c r="S28" s="551"/>
      <c r="T28" s="552"/>
      <c r="U28" s="550">
        <f>$E$28*U30</f>
        <v>0</v>
      </c>
      <c r="V28" s="551"/>
      <c r="W28" s="552"/>
      <c r="X28" s="214">
        <f>SUM(F28:W28)</f>
        <v>0</v>
      </c>
      <c r="Y28" s="214">
        <f>X28-E28</f>
        <v>0</v>
      </c>
    </row>
    <row r="29" spans="1:25">
      <c r="A29" s="596"/>
      <c r="B29" s="599"/>
      <c r="C29" s="600"/>
      <c r="D29" s="602"/>
      <c r="E29" s="604"/>
      <c r="F29" s="224"/>
      <c r="G29" s="225"/>
      <c r="H29" s="225"/>
      <c r="I29" s="217"/>
      <c r="J29" s="215"/>
      <c r="K29" s="216"/>
      <c r="L29" s="217"/>
      <c r="M29" s="215"/>
      <c r="N29" s="216"/>
      <c r="O29" s="215"/>
      <c r="P29" s="215"/>
      <c r="Q29" s="216"/>
      <c r="R29" s="215"/>
      <c r="S29" s="215"/>
      <c r="T29" s="215"/>
      <c r="U29" s="217"/>
      <c r="V29" s="215"/>
      <c r="W29" s="216"/>
    </row>
    <row r="30" spans="1:25">
      <c r="A30" s="596"/>
      <c r="B30" s="599"/>
      <c r="C30" s="600"/>
      <c r="D30" s="602"/>
      <c r="E30" s="605"/>
      <c r="F30" s="553"/>
      <c r="G30" s="554"/>
      <c r="H30" s="555"/>
      <c r="I30" s="556">
        <v>0.3</v>
      </c>
      <c r="J30" s="557"/>
      <c r="K30" s="558"/>
      <c r="L30" s="556">
        <v>0.15</v>
      </c>
      <c r="M30" s="557"/>
      <c r="N30" s="558"/>
      <c r="O30" s="556">
        <v>0.2</v>
      </c>
      <c r="P30" s="557"/>
      <c r="Q30" s="558"/>
      <c r="R30" s="556">
        <v>0.2</v>
      </c>
      <c r="S30" s="557"/>
      <c r="T30" s="558"/>
      <c r="U30" s="559">
        <v>0.15</v>
      </c>
      <c r="V30" s="560"/>
      <c r="W30" s="561"/>
      <c r="X30" s="218">
        <f>SUM(F30:W30)</f>
        <v>0.99999999999999989</v>
      </c>
    </row>
    <row r="31" spans="1:25" ht="12.75" customHeight="1">
      <c r="A31" s="595">
        <f>RESUMO!B33</f>
        <v>0</v>
      </c>
      <c r="B31" s="609">
        <f>RESUMO!C33</f>
        <v>0</v>
      </c>
      <c r="C31" s="610"/>
      <c r="D31" s="601">
        <f>E31/$E$40*100</f>
        <v>0</v>
      </c>
      <c r="E31" s="603">
        <f>RESUMO!D33</f>
        <v>0</v>
      </c>
      <c r="F31" s="562"/>
      <c r="G31" s="563"/>
      <c r="H31" s="564"/>
      <c r="I31" s="550">
        <f>$E$31*I33</f>
        <v>0</v>
      </c>
      <c r="J31" s="551"/>
      <c r="K31" s="552"/>
      <c r="L31" s="550">
        <f>$E$31*L33</f>
        <v>0</v>
      </c>
      <c r="M31" s="551"/>
      <c r="N31" s="552"/>
      <c r="O31" s="550"/>
      <c r="P31" s="551"/>
      <c r="Q31" s="552"/>
      <c r="R31" s="550"/>
      <c r="S31" s="551"/>
      <c r="T31" s="552"/>
      <c r="U31" s="541"/>
      <c r="V31" s="542"/>
      <c r="W31" s="543"/>
      <c r="X31" s="214">
        <f>SUM(F31:W31)</f>
        <v>0</v>
      </c>
      <c r="Y31" s="214">
        <f>X31-E31</f>
        <v>0</v>
      </c>
    </row>
    <row r="32" spans="1:25">
      <c r="A32" s="596"/>
      <c r="B32" s="611"/>
      <c r="C32" s="612"/>
      <c r="D32" s="602"/>
      <c r="E32" s="604"/>
      <c r="F32" s="224"/>
      <c r="G32" s="225"/>
      <c r="H32" s="225"/>
      <c r="I32" s="217"/>
      <c r="J32" s="215"/>
      <c r="K32" s="216"/>
      <c r="L32" s="217"/>
      <c r="M32" s="215"/>
      <c r="N32" s="216"/>
      <c r="O32" s="219"/>
      <c r="P32" s="219"/>
      <c r="Q32" s="221"/>
      <c r="R32" s="219"/>
      <c r="S32" s="219"/>
      <c r="T32" s="219"/>
      <c r="U32" s="220"/>
      <c r="V32" s="219"/>
      <c r="W32" s="221"/>
    </row>
    <row r="33" spans="1:25">
      <c r="A33" s="596"/>
      <c r="B33" s="611"/>
      <c r="C33" s="612"/>
      <c r="D33" s="602"/>
      <c r="E33" s="605"/>
      <c r="F33" s="553"/>
      <c r="G33" s="554"/>
      <c r="H33" s="555"/>
      <c r="I33" s="556">
        <v>0.6</v>
      </c>
      <c r="J33" s="557"/>
      <c r="K33" s="558"/>
      <c r="L33" s="556">
        <v>0.4</v>
      </c>
      <c r="M33" s="557"/>
      <c r="N33" s="558"/>
      <c r="O33" s="556"/>
      <c r="P33" s="557"/>
      <c r="Q33" s="558"/>
      <c r="R33" s="556"/>
      <c r="S33" s="557"/>
      <c r="T33" s="558"/>
      <c r="U33" s="559"/>
      <c r="V33" s="560"/>
      <c r="W33" s="561"/>
      <c r="X33" s="218">
        <f>SUM(F33:W33)</f>
        <v>1</v>
      </c>
    </row>
    <row r="34" spans="1:25" ht="12.75" customHeight="1">
      <c r="A34" s="595">
        <f>RESUMO!B36</f>
        <v>0</v>
      </c>
      <c r="B34" s="609">
        <f>RESUMO!C36</f>
        <v>0</v>
      </c>
      <c r="C34" s="610"/>
      <c r="D34" s="613">
        <f>E34/$E$40*100</f>
        <v>0</v>
      </c>
      <c r="E34" s="603">
        <f>RESUMO!D36</f>
        <v>0</v>
      </c>
      <c r="F34" s="562"/>
      <c r="G34" s="563"/>
      <c r="H34" s="564"/>
      <c r="I34" s="550">
        <f>$E$34*I36</f>
        <v>0</v>
      </c>
      <c r="J34" s="551"/>
      <c r="K34" s="552"/>
      <c r="L34" s="550">
        <f>$E$34*L36</f>
        <v>0</v>
      </c>
      <c r="M34" s="551"/>
      <c r="N34" s="552"/>
      <c r="O34" s="550">
        <f>$E$34*O36</f>
        <v>0</v>
      </c>
      <c r="P34" s="551"/>
      <c r="Q34" s="552"/>
      <c r="R34" s="550"/>
      <c r="S34" s="551"/>
      <c r="T34" s="552"/>
      <c r="U34" s="541"/>
      <c r="V34" s="542"/>
      <c r="W34" s="543"/>
      <c r="X34" s="214">
        <f>SUM(F34:W34)</f>
        <v>0</v>
      </c>
      <c r="Y34" s="214">
        <f>X34-E34</f>
        <v>0</v>
      </c>
    </row>
    <row r="35" spans="1:25">
      <c r="A35" s="596"/>
      <c r="B35" s="611"/>
      <c r="C35" s="612"/>
      <c r="D35" s="613"/>
      <c r="E35" s="604"/>
      <c r="F35" s="224"/>
      <c r="G35" s="225"/>
      <c r="H35" s="225"/>
      <c r="I35" s="217"/>
      <c r="J35" s="215"/>
      <c r="K35" s="216"/>
      <c r="L35" s="217"/>
      <c r="M35" s="215"/>
      <c r="N35" s="216"/>
      <c r="O35" s="215"/>
      <c r="P35" s="215"/>
      <c r="Q35" s="216"/>
      <c r="R35" s="219"/>
      <c r="S35" s="219"/>
      <c r="T35" s="219"/>
      <c r="U35" s="220"/>
      <c r="V35" s="219"/>
      <c r="W35" s="221"/>
    </row>
    <row r="36" spans="1:25">
      <c r="A36" s="596"/>
      <c r="B36" s="611"/>
      <c r="C36" s="612"/>
      <c r="D36" s="613"/>
      <c r="E36" s="605"/>
      <c r="F36" s="553"/>
      <c r="G36" s="554"/>
      <c r="H36" s="555"/>
      <c r="I36" s="556">
        <v>0.3</v>
      </c>
      <c r="J36" s="557"/>
      <c r="K36" s="558"/>
      <c r="L36" s="556">
        <v>0.4</v>
      </c>
      <c r="M36" s="557"/>
      <c r="N36" s="558"/>
      <c r="O36" s="556">
        <v>0.3</v>
      </c>
      <c r="P36" s="557"/>
      <c r="Q36" s="558"/>
      <c r="R36" s="556"/>
      <c r="S36" s="557"/>
      <c r="T36" s="558"/>
      <c r="U36" s="559"/>
      <c r="V36" s="560"/>
      <c r="W36" s="561"/>
      <c r="X36" s="218">
        <f>SUM(F36:W36)</f>
        <v>1</v>
      </c>
    </row>
    <row r="37" spans="1:25">
      <c r="A37" s="595">
        <f>RESUMO!B39</f>
        <v>0</v>
      </c>
      <c r="B37" s="597">
        <f>RESUMO!C39</f>
        <v>0</v>
      </c>
      <c r="C37" s="598"/>
      <c r="D37" s="613">
        <f>E37/$E$40*100</f>
        <v>0</v>
      </c>
      <c r="E37" s="603">
        <f>RESUMO!D39</f>
        <v>0</v>
      </c>
      <c r="F37" s="622"/>
      <c r="G37" s="623"/>
      <c r="H37" s="623"/>
      <c r="I37" s="550">
        <f>$E$37*I39</f>
        <v>0</v>
      </c>
      <c r="J37" s="551"/>
      <c r="K37" s="552"/>
      <c r="L37" s="550">
        <f>$E$37*L39</f>
        <v>0</v>
      </c>
      <c r="M37" s="551"/>
      <c r="N37" s="552"/>
      <c r="O37" s="550">
        <f>$E$37*O39</f>
        <v>0</v>
      </c>
      <c r="P37" s="551"/>
      <c r="Q37" s="552"/>
      <c r="R37" s="541"/>
      <c r="S37" s="542"/>
      <c r="T37" s="543"/>
      <c r="U37" s="541"/>
      <c r="V37" s="542"/>
      <c r="W37" s="543"/>
      <c r="X37" s="214">
        <f>SUM(F37:W37)</f>
        <v>0</v>
      </c>
      <c r="Y37" s="214">
        <f>X37-E37</f>
        <v>0</v>
      </c>
    </row>
    <row r="38" spans="1:25">
      <c r="A38" s="596"/>
      <c r="B38" s="599"/>
      <c r="C38" s="600"/>
      <c r="D38" s="613"/>
      <c r="E38" s="604"/>
      <c r="F38" s="224"/>
      <c r="G38" s="225"/>
      <c r="H38" s="227"/>
      <c r="I38" s="215"/>
      <c r="J38" s="215"/>
      <c r="K38" s="216"/>
      <c r="L38" s="217"/>
      <c r="M38" s="215"/>
      <c r="N38" s="216"/>
      <c r="O38" s="215"/>
      <c r="P38" s="215"/>
      <c r="Q38" s="216"/>
      <c r="R38" s="219"/>
      <c r="S38" s="219"/>
      <c r="T38" s="219"/>
      <c r="U38" s="220"/>
      <c r="V38" s="219"/>
      <c r="W38" s="221"/>
    </row>
    <row r="39" spans="1:25">
      <c r="A39" s="596"/>
      <c r="B39" s="599"/>
      <c r="C39" s="600"/>
      <c r="D39" s="613"/>
      <c r="E39" s="605"/>
      <c r="F39" s="614"/>
      <c r="G39" s="615"/>
      <c r="H39" s="616"/>
      <c r="I39" s="556">
        <v>0.3</v>
      </c>
      <c r="J39" s="557"/>
      <c r="K39" s="558"/>
      <c r="L39" s="556">
        <v>0.4</v>
      </c>
      <c r="M39" s="557"/>
      <c r="N39" s="558"/>
      <c r="O39" s="556">
        <v>0.3</v>
      </c>
      <c r="P39" s="557"/>
      <c r="Q39" s="558"/>
      <c r="R39" s="559"/>
      <c r="S39" s="560"/>
      <c r="T39" s="561"/>
      <c r="U39" s="559"/>
      <c r="V39" s="560"/>
      <c r="W39" s="561"/>
      <c r="X39" s="218">
        <f>SUM(F39:W39)</f>
        <v>1</v>
      </c>
    </row>
    <row r="40" spans="1:25">
      <c r="A40" s="627" t="s">
        <v>131</v>
      </c>
      <c r="B40" s="628"/>
      <c r="C40" s="629"/>
      <c r="D40" s="228">
        <f>SUM(D7:D39)</f>
        <v>100</v>
      </c>
      <c r="E40" s="229">
        <f>E7+E10+E13+E16+E19+E22+E25+E28+E31+E34+E37</f>
        <v>804669.67000000016</v>
      </c>
      <c r="F40" s="624">
        <f>F41/$E$40</f>
        <v>7.7954860657293068E-2</v>
      </c>
      <c r="G40" s="625"/>
      <c r="H40" s="626"/>
      <c r="I40" s="624">
        <f>I41/$E$40</f>
        <v>0.22181559372058846</v>
      </c>
      <c r="J40" s="625"/>
      <c r="K40" s="626"/>
      <c r="L40" s="624">
        <f>L41/$E$40</f>
        <v>0.27264654028776802</v>
      </c>
      <c r="M40" s="625"/>
      <c r="N40" s="626"/>
      <c r="O40" s="624">
        <f>O41/$E$40</f>
        <v>0.29321817187418037</v>
      </c>
      <c r="P40" s="625"/>
      <c r="Q40" s="626"/>
      <c r="R40" s="624">
        <f>R41/$E$40</f>
        <v>6.2159697282985697E-2</v>
      </c>
      <c r="S40" s="625"/>
      <c r="T40" s="626"/>
      <c r="U40" s="624">
        <f>U41/$E$40</f>
        <v>7.2205136177184354E-2</v>
      </c>
      <c r="V40" s="625"/>
      <c r="W40" s="626"/>
      <c r="X40" s="214">
        <f>SUM(F40:W40)</f>
        <v>0.99999999999999989</v>
      </c>
      <c r="Y40" s="214">
        <f>SUM(X37+X34+X31+X28+X25+X22+X19+X13+X10+X7+X16)</f>
        <v>804669.67000000016</v>
      </c>
    </row>
    <row r="41" spans="1:25">
      <c r="A41" s="627" t="s">
        <v>132</v>
      </c>
      <c r="B41" s="628"/>
      <c r="C41" s="629"/>
      <c r="D41" s="633" t="s">
        <v>133</v>
      </c>
      <c r="E41" s="634"/>
      <c r="F41" s="617">
        <f>F19+F16+F13+F10+F7</f>
        <v>62727.912000000011</v>
      </c>
      <c r="G41" s="618"/>
      <c r="H41" s="619"/>
      <c r="I41" s="617">
        <f>I37+I34+I31+I28+I19+I16+I13+I10+I7</f>
        <v>178488.28060000003</v>
      </c>
      <c r="J41" s="618"/>
      <c r="K41" s="619"/>
      <c r="L41" s="617">
        <f>L37+L34+L31+L28+L19+L16+L13+L10+L7</f>
        <v>219390.40160000004</v>
      </c>
      <c r="M41" s="618"/>
      <c r="N41" s="619"/>
      <c r="O41" s="617">
        <f>O37+O34+O28+O25+O19+O16+O13+O10+O7</f>
        <v>235943.76960000003</v>
      </c>
      <c r="P41" s="618"/>
      <c r="Q41" s="619"/>
      <c r="R41" s="617">
        <f>R7+R10+R13+R25+R28+R22</f>
        <v>50018.023100000006</v>
      </c>
      <c r="S41" s="618"/>
      <c r="T41" s="619"/>
      <c r="U41" s="617">
        <f>SUM(U28+U25+U22+U13+U10+U7)</f>
        <v>58101.283100000008</v>
      </c>
      <c r="V41" s="618"/>
      <c r="W41" s="619"/>
      <c r="X41" s="214">
        <f>SUM(F41:W41)</f>
        <v>804669.67</v>
      </c>
    </row>
    <row r="42" spans="1:25">
      <c r="A42" s="630"/>
      <c r="B42" s="631"/>
      <c r="C42" s="632"/>
      <c r="D42" s="620" t="s">
        <v>134</v>
      </c>
      <c r="E42" s="621"/>
      <c r="F42" s="617">
        <f>F41</f>
        <v>62727.912000000011</v>
      </c>
      <c r="G42" s="618"/>
      <c r="H42" s="619"/>
      <c r="I42" s="617">
        <f>F42++I41</f>
        <v>241216.19260000004</v>
      </c>
      <c r="J42" s="618"/>
      <c r="K42" s="619"/>
      <c r="L42" s="617">
        <f>I42++L41</f>
        <v>460606.59420000005</v>
      </c>
      <c r="M42" s="618"/>
      <c r="N42" s="619"/>
      <c r="O42" s="617">
        <f>L42++O41</f>
        <v>696550.36380000005</v>
      </c>
      <c r="P42" s="618"/>
      <c r="Q42" s="619"/>
      <c r="R42" s="617">
        <f>O42++R41</f>
        <v>746568.38690000004</v>
      </c>
      <c r="S42" s="618"/>
      <c r="T42" s="619"/>
      <c r="U42" s="617">
        <f>R42++U41</f>
        <v>804669.67</v>
      </c>
      <c r="V42" s="618"/>
      <c r="W42" s="619"/>
      <c r="Y42" s="214">
        <f>Y40-U42</f>
        <v>0</v>
      </c>
    </row>
    <row r="44" spans="1:25">
      <c r="E44" s="230">
        <f>SUM(E7:E39)</f>
        <v>804669.67000000016</v>
      </c>
      <c r="V44" s="231"/>
      <c r="Y44" s="231"/>
    </row>
  </sheetData>
  <mergeCells count="218">
    <mergeCell ref="A40:C40"/>
    <mergeCell ref="F40:H40"/>
    <mergeCell ref="I40:K40"/>
    <mergeCell ref="L40:N40"/>
    <mergeCell ref="O40:Q40"/>
    <mergeCell ref="R40:T40"/>
    <mergeCell ref="A41:C42"/>
    <mergeCell ref="D41:E41"/>
    <mergeCell ref="F41:H41"/>
    <mergeCell ref="I41:K41"/>
    <mergeCell ref="L41:N41"/>
    <mergeCell ref="O41:Q41"/>
    <mergeCell ref="R41:T41"/>
    <mergeCell ref="U41:W41"/>
    <mergeCell ref="D42:E42"/>
    <mergeCell ref="U39:W39"/>
    <mergeCell ref="F37:H37"/>
    <mergeCell ref="I37:K37"/>
    <mergeCell ref="L37:N37"/>
    <mergeCell ref="O37:Q37"/>
    <mergeCell ref="R37:T37"/>
    <mergeCell ref="U37:W37"/>
    <mergeCell ref="F42:H42"/>
    <mergeCell ref="I42:K42"/>
    <mergeCell ref="L42:N42"/>
    <mergeCell ref="O42:Q42"/>
    <mergeCell ref="R42:T42"/>
    <mergeCell ref="U42:W42"/>
    <mergeCell ref="U40:W40"/>
    <mergeCell ref="A31:A33"/>
    <mergeCell ref="B31:C33"/>
    <mergeCell ref="D31:D33"/>
    <mergeCell ref="E31:E33"/>
    <mergeCell ref="E25:E27"/>
    <mergeCell ref="E22:E24"/>
    <mergeCell ref="A25:A27"/>
    <mergeCell ref="B25:C27"/>
    <mergeCell ref="A28:A30"/>
    <mergeCell ref="B28:C30"/>
    <mergeCell ref="D28:D30"/>
    <mergeCell ref="E28:E30"/>
    <mergeCell ref="F36:H36"/>
    <mergeCell ref="I36:K36"/>
    <mergeCell ref="L36:N36"/>
    <mergeCell ref="O36:Q36"/>
    <mergeCell ref="R36:T36"/>
    <mergeCell ref="A37:A39"/>
    <mergeCell ref="B37:C39"/>
    <mergeCell ref="D37:D39"/>
    <mergeCell ref="E37:E39"/>
    <mergeCell ref="A34:A36"/>
    <mergeCell ref="B34:C36"/>
    <mergeCell ref="D34:D36"/>
    <mergeCell ref="E34:E36"/>
    <mergeCell ref="F39:H39"/>
    <mergeCell ref="I39:K39"/>
    <mergeCell ref="L39:N39"/>
    <mergeCell ref="O39:Q39"/>
    <mergeCell ref="R39:T39"/>
    <mergeCell ref="O33:Q33"/>
    <mergeCell ref="R33:T33"/>
    <mergeCell ref="R22:T22"/>
    <mergeCell ref="I24:K24"/>
    <mergeCell ref="F25:H25"/>
    <mergeCell ref="I25:K25"/>
    <mergeCell ref="R25:T25"/>
    <mergeCell ref="L24:N24"/>
    <mergeCell ref="R24:T24"/>
    <mergeCell ref="I22:K22"/>
    <mergeCell ref="U36:W36"/>
    <mergeCell ref="U34:W34"/>
    <mergeCell ref="F34:H34"/>
    <mergeCell ref="I34:K34"/>
    <mergeCell ref="L34:N34"/>
    <mergeCell ref="O34:Q34"/>
    <mergeCell ref="R34:T34"/>
    <mergeCell ref="D25:D27"/>
    <mergeCell ref="F22:H22"/>
    <mergeCell ref="F27:H27"/>
    <mergeCell ref="I27:K27"/>
    <mergeCell ref="L27:N27"/>
    <mergeCell ref="O27:Q27"/>
    <mergeCell ref="U27:W27"/>
    <mergeCell ref="U33:W33"/>
    <mergeCell ref="U31:W31"/>
    <mergeCell ref="F31:H31"/>
    <mergeCell ref="I31:K31"/>
    <mergeCell ref="L31:N31"/>
    <mergeCell ref="O31:Q31"/>
    <mergeCell ref="R31:T31"/>
    <mergeCell ref="F33:H33"/>
    <mergeCell ref="I33:K33"/>
    <mergeCell ref="L33:N33"/>
    <mergeCell ref="R19:T19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A16:A18"/>
    <mergeCell ref="B16:C18"/>
    <mergeCell ref="D16:D18"/>
    <mergeCell ref="E16:E18"/>
    <mergeCell ref="F16:H16"/>
    <mergeCell ref="L16:N16"/>
    <mergeCell ref="I18:K18"/>
    <mergeCell ref="F17:H17"/>
    <mergeCell ref="F24:H24"/>
    <mergeCell ref="A19:A21"/>
    <mergeCell ref="B19:C21"/>
    <mergeCell ref="D19:D21"/>
    <mergeCell ref="E19:E21"/>
    <mergeCell ref="F19:H19"/>
    <mergeCell ref="I19:K19"/>
    <mergeCell ref="F20:H20"/>
    <mergeCell ref="A22:A24"/>
    <mergeCell ref="B22:C24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A13:A15"/>
    <mergeCell ref="B13:C15"/>
    <mergeCell ref="D13:D15"/>
    <mergeCell ref="E13:E15"/>
    <mergeCell ref="F13:H13"/>
    <mergeCell ref="L13:N13"/>
    <mergeCell ref="I13:K13"/>
    <mergeCell ref="R10:T10"/>
    <mergeCell ref="R12:T12"/>
    <mergeCell ref="A10:A12"/>
    <mergeCell ref="B10:C12"/>
    <mergeCell ref="D10:D12"/>
    <mergeCell ref="E10:E12"/>
    <mergeCell ref="F14:H14"/>
    <mergeCell ref="I15:K15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F10:H10"/>
    <mergeCell ref="I10:K10"/>
    <mergeCell ref="A7:A9"/>
    <mergeCell ref="B7:C9"/>
    <mergeCell ref="D7:D9"/>
    <mergeCell ref="E7:E9"/>
    <mergeCell ref="F7:H7"/>
    <mergeCell ref="R7:T7"/>
    <mergeCell ref="U7:W7"/>
    <mergeCell ref="F8:H8"/>
    <mergeCell ref="U8:W8"/>
    <mergeCell ref="F9:H9"/>
    <mergeCell ref="I9:K9"/>
    <mergeCell ref="L9:N9"/>
    <mergeCell ref="O9:Q9"/>
    <mergeCell ref="R9:T9"/>
    <mergeCell ref="U9:W9"/>
    <mergeCell ref="I7:K7"/>
    <mergeCell ref="L7:N7"/>
    <mergeCell ref="O7:Q7"/>
    <mergeCell ref="A1:E3"/>
    <mergeCell ref="F1:W3"/>
    <mergeCell ref="A4:W4"/>
    <mergeCell ref="A5:E5"/>
    <mergeCell ref="F5:W5"/>
    <mergeCell ref="B6:C6"/>
    <mergeCell ref="F6:H6"/>
    <mergeCell ref="I6:K6"/>
    <mergeCell ref="L6:N6"/>
    <mergeCell ref="O6:Q6"/>
    <mergeCell ref="R6:T6"/>
    <mergeCell ref="U6:W6"/>
    <mergeCell ref="U22:W22"/>
    <mergeCell ref="U28:W28"/>
    <mergeCell ref="F30:H30"/>
    <mergeCell ref="I30:K30"/>
    <mergeCell ref="L30:N30"/>
    <mergeCell ref="O30:Q30"/>
    <mergeCell ref="R30:T30"/>
    <mergeCell ref="U30:W30"/>
    <mergeCell ref="L25:N25"/>
    <mergeCell ref="O25:Q25"/>
    <mergeCell ref="R27:T27"/>
    <mergeCell ref="O24:Q24"/>
    <mergeCell ref="U24:W24"/>
    <mergeCell ref="L22:N22"/>
    <mergeCell ref="O22:Q22"/>
    <mergeCell ref="F28:H28"/>
    <mergeCell ref="I28:K28"/>
    <mergeCell ref="L28:N28"/>
    <mergeCell ref="O28:Q28"/>
    <mergeCell ref="R28:T28"/>
    <mergeCell ref="U25:W25"/>
    <mergeCell ref="R16:T16"/>
    <mergeCell ref="U16:W16"/>
    <mergeCell ref="F18:H18"/>
    <mergeCell ref="L18:N18"/>
    <mergeCell ref="O18:Q18"/>
    <mergeCell ref="R18:T18"/>
    <mergeCell ref="U18:W18"/>
    <mergeCell ref="U17:W17"/>
    <mergeCell ref="O16:Q16"/>
    <mergeCell ref="I16:K1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B1:Z29"/>
  <sheetViews>
    <sheetView zoomScale="85" zoomScaleNormal="85" workbookViewId="0">
      <pane ySplit="5" topLeftCell="A12" activePane="bottomLeft" state="frozen"/>
      <selection pane="bottomLeft" activeCell="Z12" sqref="Z12"/>
    </sheetView>
  </sheetViews>
  <sheetFormatPr defaultColWidth="9.140625" defaultRowHeight="15"/>
  <cols>
    <col min="1" max="1" width="8.42578125" style="116" customWidth="1"/>
    <col min="2" max="2" width="41.28515625" style="116" bestFit="1" customWidth="1"/>
    <col min="3" max="3" width="5.7109375" style="116" customWidth="1"/>
    <col min="4" max="4" width="5.7109375" style="147" customWidth="1"/>
    <col min="5" max="5" width="7.7109375" style="148" customWidth="1"/>
    <col min="6" max="7" width="5.7109375" style="147" customWidth="1"/>
    <col min="8" max="8" width="7.7109375" style="149" customWidth="1"/>
    <col min="9" max="9" width="13.7109375" style="116" customWidth="1"/>
    <col min="10" max="10" width="8.85546875" style="116" customWidth="1"/>
    <col min="11" max="12" width="8" style="116" customWidth="1"/>
    <col min="13" max="13" width="9.28515625" style="116" customWidth="1"/>
    <col min="14" max="14" width="12.42578125" style="116" customWidth="1"/>
    <col min="15" max="15" width="13.7109375" style="116" customWidth="1"/>
    <col min="16" max="16" width="12.7109375" style="116" bestFit="1" customWidth="1"/>
    <col min="17" max="18" width="14.28515625" style="116" customWidth="1"/>
    <col min="19" max="19" width="12.7109375" style="116" customWidth="1"/>
    <col min="20" max="20" width="12.28515625" style="116" bestFit="1" customWidth="1"/>
    <col min="21" max="21" width="14.7109375" style="116" customWidth="1"/>
    <col min="22" max="22" width="12.42578125" style="116" customWidth="1"/>
    <col min="23" max="23" width="13" style="116" bestFit="1" customWidth="1"/>
    <col min="24" max="24" width="13.42578125" style="116" customWidth="1"/>
    <col min="25" max="25" width="9.140625" style="116"/>
    <col min="26" max="26" width="9.42578125" style="116" customWidth="1"/>
    <col min="27" max="16384" width="9.140625" style="116"/>
  </cols>
  <sheetData>
    <row r="1" spans="2:26" s="115" customFormat="1" ht="35.1" customHeight="1">
      <c r="B1" s="652" t="s">
        <v>464</v>
      </c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  <c r="O1" s="653"/>
      <c r="P1" s="653"/>
      <c r="Q1" s="653"/>
      <c r="R1" s="653"/>
      <c r="S1" s="653"/>
      <c r="T1" s="653"/>
      <c r="U1" s="653"/>
      <c r="V1" s="653"/>
      <c r="W1" s="653"/>
      <c r="X1" s="654"/>
    </row>
    <row r="2" spans="2:26" ht="35.1" customHeight="1">
      <c r="B2" s="655" t="s">
        <v>59</v>
      </c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6"/>
      <c r="N2" s="656"/>
      <c r="O2" s="656"/>
      <c r="P2" s="656"/>
      <c r="Q2" s="656"/>
      <c r="R2" s="656"/>
      <c r="S2" s="656"/>
      <c r="T2" s="656"/>
      <c r="U2" s="656"/>
      <c r="V2" s="656"/>
      <c r="W2" s="656"/>
      <c r="X2" s="657"/>
    </row>
    <row r="3" spans="2:26" ht="19.5" customHeight="1">
      <c r="B3" s="658" t="s">
        <v>60</v>
      </c>
      <c r="C3" s="660" t="s">
        <v>61</v>
      </c>
      <c r="D3" s="661"/>
      <c r="E3" s="661"/>
      <c r="F3" s="661"/>
      <c r="G3" s="661"/>
      <c r="H3" s="662"/>
      <c r="I3" s="640" t="s">
        <v>62</v>
      </c>
      <c r="J3" s="643" t="s">
        <v>63</v>
      </c>
      <c r="K3" s="663"/>
      <c r="L3" s="663"/>
      <c r="M3" s="664"/>
      <c r="N3" s="640" t="s">
        <v>76</v>
      </c>
      <c r="O3" s="643" t="s">
        <v>3</v>
      </c>
      <c r="P3" s="644"/>
      <c r="Q3" s="640" t="s">
        <v>64</v>
      </c>
      <c r="R3" s="640" t="s">
        <v>214</v>
      </c>
      <c r="S3" s="640" t="s">
        <v>234</v>
      </c>
      <c r="T3" s="640" t="s">
        <v>238</v>
      </c>
      <c r="U3" s="640" t="s">
        <v>233</v>
      </c>
      <c r="V3" s="640" t="s">
        <v>237</v>
      </c>
      <c r="W3" s="640" t="s">
        <v>232</v>
      </c>
      <c r="X3" s="641" t="s">
        <v>65</v>
      </c>
    </row>
    <row r="4" spans="2:26" ht="31.5" customHeight="1">
      <c r="B4" s="659"/>
      <c r="C4" s="646" t="s">
        <v>66</v>
      </c>
      <c r="D4" s="647"/>
      <c r="E4" s="648"/>
      <c r="F4" s="646" t="s">
        <v>67</v>
      </c>
      <c r="G4" s="647"/>
      <c r="H4" s="648"/>
      <c r="I4" s="639"/>
      <c r="J4" s="645" t="s">
        <v>68</v>
      </c>
      <c r="K4" s="643" t="s">
        <v>69</v>
      </c>
      <c r="L4" s="664"/>
      <c r="M4" s="645" t="s">
        <v>68</v>
      </c>
      <c r="N4" s="638"/>
      <c r="O4" s="638" t="s">
        <v>235</v>
      </c>
      <c r="P4" s="638" t="s">
        <v>452</v>
      </c>
      <c r="Q4" s="638"/>
      <c r="R4" s="639"/>
      <c r="S4" s="639"/>
      <c r="T4" s="639"/>
      <c r="U4" s="639"/>
      <c r="V4" s="639"/>
      <c r="W4" s="639"/>
      <c r="X4" s="642"/>
    </row>
    <row r="5" spans="2:26" ht="15.75" thickBot="1">
      <c r="B5" s="659"/>
      <c r="C5" s="649"/>
      <c r="D5" s="650"/>
      <c r="E5" s="651"/>
      <c r="F5" s="649"/>
      <c r="G5" s="650"/>
      <c r="H5" s="651"/>
      <c r="I5" s="639"/>
      <c r="J5" s="639"/>
      <c r="K5" s="414" t="s">
        <v>70</v>
      </c>
      <c r="L5" s="414" t="s">
        <v>71</v>
      </c>
      <c r="M5" s="639"/>
      <c r="N5" s="638"/>
      <c r="O5" s="639"/>
      <c r="P5" s="639"/>
      <c r="Q5" s="638"/>
      <c r="R5" s="639"/>
      <c r="S5" s="639"/>
      <c r="T5" s="639"/>
      <c r="U5" s="639"/>
      <c r="V5" s="639"/>
      <c r="W5" s="639"/>
      <c r="X5" s="642"/>
    </row>
    <row r="6" spans="2:26" ht="35.1" customHeight="1" thickBot="1">
      <c r="B6" s="635" t="str">
        <f>B1</f>
        <v>BAIRRO: PARQUE DEL REY</v>
      </c>
      <c r="C6" s="636"/>
      <c r="D6" s="636"/>
      <c r="E6" s="636"/>
      <c r="F6" s="636"/>
      <c r="G6" s="636"/>
      <c r="H6" s="636"/>
      <c r="I6" s="636"/>
      <c r="J6" s="636"/>
      <c r="K6" s="636"/>
      <c r="L6" s="636"/>
      <c r="M6" s="636"/>
      <c r="N6" s="636"/>
      <c r="O6" s="636"/>
      <c r="P6" s="636"/>
      <c r="Q6" s="636"/>
      <c r="R6" s="636"/>
      <c r="S6" s="636"/>
      <c r="T6" s="636"/>
      <c r="U6" s="636"/>
      <c r="V6" s="636"/>
      <c r="W6" s="636"/>
      <c r="X6" s="637"/>
    </row>
    <row r="7" spans="2:26" ht="35.1" customHeight="1">
      <c r="B7" s="342" t="s">
        <v>465</v>
      </c>
      <c r="C7" s="117">
        <v>0</v>
      </c>
      <c r="D7" s="118" t="s">
        <v>72</v>
      </c>
      <c r="E7" s="119">
        <v>0</v>
      </c>
      <c r="F7" s="120">
        <v>5</v>
      </c>
      <c r="G7" s="121" t="s">
        <v>72</v>
      </c>
      <c r="H7" s="122">
        <v>12</v>
      </c>
      <c r="I7" s="123">
        <f>(F7*20+H7)-(C7*20+E7)</f>
        <v>112</v>
      </c>
      <c r="J7" s="124">
        <v>0.5</v>
      </c>
      <c r="K7" s="124">
        <v>3.5</v>
      </c>
      <c r="L7" s="124">
        <v>3.5</v>
      </c>
      <c r="M7" s="124">
        <v>0.5</v>
      </c>
      <c r="N7" s="124">
        <f>I7*3</f>
        <v>336</v>
      </c>
      <c r="O7" s="125">
        <v>290.012</v>
      </c>
      <c r="P7" s="125">
        <v>45.79</v>
      </c>
      <c r="Q7" s="126">
        <f>INT((J7+K7+L7+M7)*I7*100+0.5)/100</f>
        <v>896</v>
      </c>
      <c r="R7" s="127">
        <v>0</v>
      </c>
      <c r="S7" s="126">
        <f>INT((J7+K7+L7+M7)*I7*0.15*100+0.5)/100</f>
        <v>134.4</v>
      </c>
      <c r="T7" s="126">
        <f>INT((J7+K7+L7+M7)*I7*0.2*100+0.5)/100</f>
        <v>179.2</v>
      </c>
      <c r="U7" s="126">
        <f>INT((K7-0.3+L7-0.3)*I7*100+0.5)/100</f>
        <v>716.8</v>
      </c>
      <c r="V7" s="126">
        <f>INT(((K7-0.3+L7-0.3))*I7*100+0.5)/100</f>
        <v>716.8</v>
      </c>
      <c r="W7" s="126">
        <f>U7*0.03</f>
        <v>21.503999999999998</v>
      </c>
      <c r="X7" s="432">
        <f>(I7*2)-(2*3.5*0)</f>
        <v>224</v>
      </c>
      <c r="Z7" s="128"/>
    </row>
    <row r="8" spans="2:26" ht="35.1" customHeight="1">
      <c r="B8" s="343" t="s">
        <v>455</v>
      </c>
      <c r="C8" s="117"/>
      <c r="D8" s="129"/>
      <c r="E8" s="119"/>
      <c r="F8" s="120"/>
      <c r="G8" s="129"/>
      <c r="H8" s="122"/>
      <c r="I8" s="130">
        <v>0</v>
      </c>
      <c r="J8" s="131">
        <v>0.5</v>
      </c>
      <c r="K8" s="131">
        <v>3.5</v>
      </c>
      <c r="L8" s="131">
        <v>3.5</v>
      </c>
      <c r="M8" s="131">
        <v>0.5</v>
      </c>
      <c r="N8" s="131">
        <f>I8*3</f>
        <v>0</v>
      </c>
      <c r="O8" s="419">
        <f>I8*(J8+K8+L8+M8)*0.38</f>
        <v>0</v>
      </c>
      <c r="P8" s="132"/>
      <c r="Q8" s="127">
        <f>INT((J8+K8+L8+M8)*I8*100+0.5)/100</f>
        <v>0</v>
      </c>
      <c r="R8" s="127">
        <v>0</v>
      </c>
      <c r="S8" s="126">
        <f>INT((J8+K8+L8+M8)*I8*0.15*100+0.5)/100</f>
        <v>0</v>
      </c>
      <c r="T8" s="126">
        <f>INT((J8+K8+L8+M8)*I8*0.2*100+0.5)/100</f>
        <v>0</v>
      </c>
      <c r="U8" s="127">
        <f>INT((K8-0.3+L8-0.3)*I8*100+0.5)/100</f>
        <v>0</v>
      </c>
      <c r="V8" s="127">
        <f>INT(((K8-0.3+L8-0.3))*I8*100+0.5)/100</f>
        <v>0</v>
      </c>
      <c r="W8" s="127">
        <f>U8*0.03</f>
        <v>0</v>
      </c>
      <c r="X8" s="432">
        <f>I8</f>
        <v>0</v>
      </c>
      <c r="Z8" s="128"/>
    </row>
    <row r="9" spans="2:26" ht="35.1" customHeight="1">
      <c r="B9" s="343"/>
      <c r="C9" s="136"/>
      <c r="D9" s="137"/>
      <c r="E9" s="138"/>
      <c r="F9" s="120"/>
      <c r="G9" s="129"/>
      <c r="H9" s="122"/>
      <c r="I9" s="130"/>
      <c r="J9" s="131"/>
      <c r="K9" s="131"/>
      <c r="L9" s="131"/>
      <c r="M9" s="131"/>
      <c r="N9" s="131"/>
      <c r="O9" s="132"/>
      <c r="P9" s="132"/>
      <c r="Q9" s="127"/>
      <c r="R9" s="127"/>
      <c r="S9" s="126"/>
      <c r="T9" s="126"/>
      <c r="U9" s="127"/>
      <c r="V9" s="127"/>
      <c r="W9" s="127"/>
      <c r="X9" s="432"/>
      <c r="Z9" s="128"/>
    </row>
    <row r="10" spans="2:26" ht="35.1" customHeight="1">
      <c r="B10" s="342" t="s">
        <v>466</v>
      </c>
      <c r="C10" s="133">
        <v>0</v>
      </c>
      <c r="D10" s="134" t="s">
        <v>72</v>
      </c>
      <c r="E10" s="135">
        <v>0</v>
      </c>
      <c r="F10" s="120">
        <v>5</v>
      </c>
      <c r="G10" s="129" t="s">
        <v>72</v>
      </c>
      <c r="H10" s="122">
        <v>14</v>
      </c>
      <c r="I10" s="123">
        <f>(F10*20+H10)-(C10*20+E10)</f>
        <v>114</v>
      </c>
      <c r="J10" s="124">
        <v>0.5</v>
      </c>
      <c r="K10" s="124">
        <v>3.5</v>
      </c>
      <c r="L10" s="124">
        <v>3.5</v>
      </c>
      <c r="M10" s="124">
        <v>0.5</v>
      </c>
      <c r="N10" s="124">
        <f>I10*3</f>
        <v>342</v>
      </c>
      <c r="O10" s="125">
        <v>265.87200000000001</v>
      </c>
      <c r="P10" s="125">
        <v>16.696000000000002</v>
      </c>
      <c r="Q10" s="126">
        <f>INT((J10+K10+L10+M10)*I10*100+0.5)/100</f>
        <v>912</v>
      </c>
      <c r="R10" s="127">
        <v>0</v>
      </c>
      <c r="S10" s="126">
        <f>INT((J10+K10+L10+M10)*I10*0.15*100+0.5)/100</f>
        <v>136.80000000000001</v>
      </c>
      <c r="T10" s="126">
        <f>INT((J10+K10+L10+M10)*I10*0.2*100+0.5)/100</f>
        <v>182.4</v>
      </c>
      <c r="U10" s="126">
        <f>INT((K10-0.3+L10-0.3)*I10*100+0.5)/100</f>
        <v>729.6</v>
      </c>
      <c r="V10" s="126">
        <f>INT(((K10-0.3+L10-0.3))*I10*100+0.5)/100</f>
        <v>729.6</v>
      </c>
      <c r="W10" s="126">
        <f>U10*0.03</f>
        <v>21.887999999999998</v>
      </c>
      <c r="X10" s="432">
        <f>(I10*2)-(2*3.5*0)</f>
        <v>228</v>
      </c>
      <c r="Z10" s="128"/>
    </row>
    <row r="11" spans="2:26" ht="35.1" customHeight="1">
      <c r="B11" s="343" t="s">
        <v>455</v>
      </c>
      <c r="C11" s="133"/>
      <c r="D11" s="134"/>
      <c r="E11" s="135"/>
      <c r="F11" s="120"/>
      <c r="G11" s="129"/>
      <c r="H11" s="122"/>
      <c r="I11" s="130">
        <v>0</v>
      </c>
      <c r="J11" s="131">
        <v>0.5</v>
      </c>
      <c r="K11" s="131">
        <v>3.5</v>
      </c>
      <c r="L11" s="131">
        <v>3.5</v>
      </c>
      <c r="M11" s="131">
        <v>0.5</v>
      </c>
      <c r="N11" s="131">
        <f>I11*3</f>
        <v>0</v>
      </c>
      <c r="O11" s="419">
        <f>I11*(J11+K11+L11+M11)*0.38</f>
        <v>0</v>
      </c>
      <c r="P11" s="132"/>
      <c r="Q11" s="127">
        <f>INT((J11+K11+L11+M11)*I11*100+0.5)/100</f>
        <v>0</v>
      </c>
      <c r="R11" s="127">
        <v>0</v>
      </c>
      <c r="S11" s="126">
        <f>INT((J11+K11+L11+M11)*I11*0.15*100+0.5)/100</f>
        <v>0</v>
      </c>
      <c r="T11" s="126">
        <f>INT((J11+K11+L11+M11)*I11*0.2*100+0.5)/100</f>
        <v>0</v>
      </c>
      <c r="U11" s="127">
        <f>INT((K11-0.3+L11-0.3)*I11*100+0.5)/100</f>
        <v>0</v>
      </c>
      <c r="V11" s="127">
        <f>INT(((K11-0.3+L11-0.3))*I11*100+0.5)/100</f>
        <v>0</v>
      </c>
      <c r="W11" s="127">
        <f>U11*0.03</f>
        <v>0</v>
      </c>
      <c r="X11" s="432">
        <f>I11</f>
        <v>0</v>
      </c>
      <c r="Z11" s="128"/>
    </row>
    <row r="12" spans="2:26" ht="35.1" customHeight="1">
      <c r="B12" s="343"/>
      <c r="C12" s="136"/>
      <c r="D12" s="137"/>
      <c r="E12" s="138"/>
      <c r="F12" s="120"/>
      <c r="G12" s="129"/>
      <c r="H12" s="122"/>
      <c r="I12" s="130"/>
      <c r="J12" s="131"/>
      <c r="K12" s="131"/>
      <c r="L12" s="131"/>
      <c r="M12" s="131"/>
      <c r="N12" s="131"/>
      <c r="O12" s="132"/>
      <c r="P12" s="132"/>
      <c r="Q12" s="127"/>
      <c r="R12" s="127"/>
      <c r="S12" s="126"/>
      <c r="T12" s="126"/>
      <c r="U12" s="127"/>
      <c r="V12" s="127"/>
      <c r="W12" s="127"/>
      <c r="X12" s="432"/>
      <c r="Z12" s="128"/>
    </row>
    <row r="13" spans="2:26" ht="35.1" customHeight="1">
      <c r="B13" s="342" t="s">
        <v>467</v>
      </c>
      <c r="C13" s="133">
        <v>0</v>
      </c>
      <c r="D13" s="134" t="s">
        <v>72</v>
      </c>
      <c r="E13" s="135">
        <v>0</v>
      </c>
      <c r="F13" s="120">
        <v>5</v>
      </c>
      <c r="G13" s="129" t="s">
        <v>72</v>
      </c>
      <c r="H13" s="122">
        <v>10</v>
      </c>
      <c r="I13" s="123">
        <f>(F13*20+H13)-(C13*20+E13)</f>
        <v>110</v>
      </c>
      <c r="J13" s="124">
        <v>0.5</v>
      </c>
      <c r="K13" s="124">
        <v>3.5</v>
      </c>
      <c r="L13" s="124">
        <v>3.5</v>
      </c>
      <c r="M13" s="124">
        <v>0.5</v>
      </c>
      <c r="N13" s="124">
        <f>I13*3</f>
        <v>330</v>
      </c>
      <c r="O13" s="125">
        <v>333.96199999999999</v>
      </c>
      <c r="P13" s="125">
        <v>8.8350000000000009</v>
      </c>
      <c r="Q13" s="126">
        <f>INT((J13+K13+L13+M13)*I13*100+0.5)/100</f>
        <v>880</v>
      </c>
      <c r="R13" s="127">
        <v>0</v>
      </c>
      <c r="S13" s="126">
        <f>INT((J13+K13+L13+M13)*I13*0.15*100+0.5)/100</f>
        <v>132</v>
      </c>
      <c r="T13" s="126">
        <f>INT((J13+K13+L13+M13)*I13*0.2*100+0.5)/100</f>
        <v>176</v>
      </c>
      <c r="U13" s="126">
        <f>INT((K13-0.3+L13-0.3)*I13*100+0.5)/100</f>
        <v>704</v>
      </c>
      <c r="V13" s="126">
        <f>INT(((K13-0.3+L13-0.3))*I13*100+0.5)/100</f>
        <v>704</v>
      </c>
      <c r="W13" s="126">
        <f>U13*0.03</f>
        <v>21.119999999999997</v>
      </c>
      <c r="X13" s="432">
        <f>(I13*2)-(2*3.5*0)</f>
        <v>220</v>
      </c>
      <c r="Z13" s="128"/>
    </row>
    <row r="14" spans="2:26" ht="35.1" customHeight="1">
      <c r="B14" s="343" t="s">
        <v>455</v>
      </c>
      <c r="C14" s="133"/>
      <c r="D14" s="134"/>
      <c r="E14" s="135"/>
      <c r="F14" s="120"/>
      <c r="G14" s="129"/>
      <c r="H14" s="122"/>
      <c r="I14" s="130">
        <v>0</v>
      </c>
      <c r="J14" s="131">
        <v>0.5</v>
      </c>
      <c r="K14" s="131">
        <v>3.5</v>
      </c>
      <c r="L14" s="131">
        <v>3.5</v>
      </c>
      <c r="M14" s="131">
        <v>0.5</v>
      </c>
      <c r="N14" s="131">
        <f>I14*3</f>
        <v>0</v>
      </c>
      <c r="O14" s="420">
        <f>I14*(J14+K14+L14+M14)*0.38</f>
        <v>0</v>
      </c>
      <c r="P14" s="408"/>
      <c r="Q14" s="127">
        <f>INT((J14+K14+L14+M14)*I14*100+0.5)/100</f>
        <v>0</v>
      </c>
      <c r="R14" s="127">
        <v>0</v>
      </c>
      <c r="S14" s="126">
        <f>INT((J14+K14+L14+M14)*I14*0.15*100+0.5)/100</f>
        <v>0</v>
      </c>
      <c r="T14" s="126">
        <f>INT((J14+K14+L14+M14)*I14*0.2*100+0.5)/100</f>
        <v>0</v>
      </c>
      <c r="U14" s="127">
        <f>INT((K14-0.3+L14-0.3)*I14*100+0.5)/100</f>
        <v>0</v>
      </c>
      <c r="V14" s="127">
        <f>INT(((K14-0.3+L14-0.3))*I14*100+0.5)/100</f>
        <v>0</v>
      </c>
      <c r="W14" s="127">
        <f>U14*0.03</f>
        <v>0</v>
      </c>
      <c r="X14" s="432">
        <f>I14</f>
        <v>0</v>
      </c>
      <c r="Z14" s="128"/>
    </row>
    <row r="15" spans="2:26" ht="35.1" customHeight="1">
      <c r="B15" s="343"/>
      <c r="C15" s="136"/>
      <c r="D15" s="137"/>
      <c r="E15" s="138"/>
      <c r="F15" s="120"/>
      <c r="G15" s="129"/>
      <c r="H15" s="122"/>
      <c r="I15" s="130"/>
      <c r="J15" s="131"/>
      <c r="K15" s="131"/>
      <c r="L15" s="131"/>
      <c r="M15" s="131"/>
      <c r="N15" s="131"/>
      <c r="O15" s="408"/>
      <c r="P15" s="408"/>
      <c r="Q15" s="127"/>
      <c r="R15" s="127"/>
      <c r="S15" s="126"/>
      <c r="T15" s="126"/>
      <c r="U15" s="127"/>
      <c r="V15" s="127"/>
      <c r="W15" s="127"/>
      <c r="X15" s="432"/>
      <c r="Z15" s="128"/>
    </row>
    <row r="16" spans="2:26" ht="35.1" customHeight="1">
      <c r="B16" s="342" t="s">
        <v>468</v>
      </c>
      <c r="C16" s="133">
        <v>0</v>
      </c>
      <c r="D16" s="134" t="s">
        <v>72</v>
      </c>
      <c r="E16" s="135">
        <v>0</v>
      </c>
      <c r="F16" s="120">
        <v>2</v>
      </c>
      <c r="G16" s="129" t="s">
        <v>72</v>
      </c>
      <c r="H16" s="122">
        <v>16</v>
      </c>
      <c r="I16" s="123">
        <f>(F16*20+H16)-(C16*20+E16)</f>
        <v>56</v>
      </c>
      <c r="J16" s="124">
        <v>0.5</v>
      </c>
      <c r="K16" s="124">
        <v>3.5</v>
      </c>
      <c r="L16" s="124">
        <v>3.5</v>
      </c>
      <c r="M16" s="124">
        <v>0.5</v>
      </c>
      <c r="N16" s="124">
        <f>I16*3</f>
        <v>168</v>
      </c>
      <c r="O16" s="125">
        <v>143.726</v>
      </c>
      <c r="P16" s="125">
        <v>6.5490000000000004</v>
      </c>
      <c r="Q16" s="126">
        <f>INT((J16+K16+L16+M16)*I16*100+0.5)/100</f>
        <v>448</v>
      </c>
      <c r="R16" s="127">
        <v>0</v>
      </c>
      <c r="S16" s="126">
        <f>INT((J16+K16+L16+M16)*I16*0.15*100+0.5)/100</f>
        <v>67.2</v>
      </c>
      <c r="T16" s="126">
        <f>INT((J16+K16+L16+M16)*I16*0.2*100+0.5)/100</f>
        <v>89.6</v>
      </c>
      <c r="U16" s="126">
        <f>INT((K16-0.3+L16-0.3)*I16*100+0.5)/100</f>
        <v>358.4</v>
      </c>
      <c r="V16" s="126">
        <f>INT(((K16-0.3+L16-0.3))*I16*100+0.5)/100</f>
        <v>358.4</v>
      </c>
      <c r="W16" s="126">
        <f>U16*0.03</f>
        <v>10.751999999999999</v>
      </c>
      <c r="X16" s="432">
        <f>(I16*2)-(2*3.5*0)</f>
        <v>112</v>
      </c>
      <c r="Z16" s="128"/>
    </row>
    <row r="17" spans="2:26" ht="35.1" customHeight="1">
      <c r="B17" s="343" t="s">
        <v>455</v>
      </c>
      <c r="C17" s="117"/>
      <c r="D17" s="129"/>
      <c r="E17" s="119"/>
      <c r="F17" s="120"/>
      <c r="G17" s="129"/>
      <c r="H17" s="122"/>
      <c r="I17" s="130">
        <v>0</v>
      </c>
      <c r="J17" s="131">
        <v>0.5</v>
      </c>
      <c r="K17" s="131">
        <v>3.5</v>
      </c>
      <c r="L17" s="131">
        <v>3.5</v>
      </c>
      <c r="M17" s="131">
        <v>0.5</v>
      </c>
      <c r="N17" s="131">
        <f>I17*3</f>
        <v>0</v>
      </c>
      <c r="O17" s="419">
        <f>I17*(J17+K17+L17+M17)*0.38</f>
        <v>0</v>
      </c>
      <c r="P17" s="408"/>
      <c r="Q17" s="127">
        <f>INT((J17+K17+L17+M17)*I17*100+0.5)/100</f>
        <v>0</v>
      </c>
      <c r="R17" s="127">
        <v>0</v>
      </c>
      <c r="S17" s="126">
        <f>INT((J17+K17+L17+M17)*I17*0.15*100+0.5)/100</f>
        <v>0</v>
      </c>
      <c r="T17" s="126">
        <f>INT((J17+K17+L17+M17)*I17*0.2*100+0.5)/100</f>
        <v>0</v>
      </c>
      <c r="U17" s="127">
        <f>INT((K17-0.3+L17-0.3)*I17*100+0.5)/100</f>
        <v>0</v>
      </c>
      <c r="V17" s="127">
        <f>INT(((K17-0.3+L17-0.3))*I17*100+0.5)/100</f>
        <v>0</v>
      </c>
      <c r="W17" s="127">
        <f>U17*0.03</f>
        <v>0</v>
      </c>
      <c r="X17" s="432">
        <f>I17</f>
        <v>0</v>
      </c>
      <c r="Z17" s="128"/>
    </row>
    <row r="18" spans="2:26" ht="35.1" customHeight="1">
      <c r="B18" s="343"/>
      <c r="C18" s="136"/>
      <c r="D18" s="137"/>
      <c r="E18" s="138"/>
      <c r="F18" s="120"/>
      <c r="G18" s="129"/>
      <c r="H18" s="122"/>
      <c r="I18" s="130"/>
      <c r="J18" s="131"/>
      <c r="K18" s="131"/>
      <c r="L18" s="131"/>
      <c r="M18" s="131"/>
      <c r="N18" s="131"/>
      <c r="O18" s="408"/>
      <c r="P18" s="408"/>
      <c r="Q18" s="127"/>
      <c r="R18" s="127"/>
      <c r="S18" s="126"/>
      <c r="T18" s="126"/>
      <c r="U18" s="127"/>
      <c r="V18" s="127"/>
      <c r="W18" s="127"/>
      <c r="X18" s="432"/>
      <c r="Z18" s="128"/>
    </row>
    <row r="19" spans="2:26" ht="35.1" customHeight="1">
      <c r="B19" s="342" t="s">
        <v>469</v>
      </c>
      <c r="C19" s="133">
        <v>0</v>
      </c>
      <c r="D19" s="134" t="s">
        <v>72</v>
      </c>
      <c r="E19" s="135">
        <v>0</v>
      </c>
      <c r="F19" s="120">
        <v>17</v>
      </c>
      <c r="G19" s="129" t="s">
        <v>72</v>
      </c>
      <c r="H19" s="122">
        <v>10</v>
      </c>
      <c r="I19" s="123">
        <f>(F19*20+H19)-(C19*20+E19)</f>
        <v>350</v>
      </c>
      <c r="J19" s="124">
        <v>0.5</v>
      </c>
      <c r="K19" s="124">
        <v>3.5</v>
      </c>
      <c r="L19" s="124">
        <v>3.5</v>
      </c>
      <c r="M19" s="124">
        <v>0.5</v>
      </c>
      <c r="N19" s="124">
        <f>I19*3</f>
        <v>1050</v>
      </c>
      <c r="O19" s="125">
        <v>1121.729</v>
      </c>
      <c r="P19" s="125">
        <v>10.295</v>
      </c>
      <c r="Q19" s="126">
        <f>INT((J19+K19+L19+M19)*I19*100+0.5)/100</f>
        <v>2800</v>
      </c>
      <c r="R19" s="127">
        <v>0</v>
      </c>
      <c r="S19" s="126">
        <f>INT((J19+K19+L19+M19)*I19*0.15*100+0.5)/100</f>
        <v>420</v>
      </c>
      <c r="T19" s="126">
        <f>INT((J19+K19+L19+M19)*I19*0.2*100+0.5)/100</f>
        <v>560</v>
      </c>
      <c r="U19" s="126">
        <f>INT((K19-0.3+L19-0.3)*I19*100+0.5)/100</f>
        <v>2240</v>
      </c>
      <c r="V19" s="126">
        <f>INT(((K19-0.3+L19-0.3))*I19*100+0.5)/100</f>
        <v>2240</v>
      </c>
      <c r="W19" s="126">
        <f>U19*0.03</f>
        <v>67.2</v>
      </c>
      <c r="X19" s="432">
        <f>(I19*2)-(2*3.5*8)</f>
        <v>644</v>
      </c>
      <c r="Z19" s="128"/>
    </row>
    <row r="20" spans="2:26" ht="35.1" customHeight="1">
      <c r="B20" s="343" t="s">
        <v>455</v>
      </c>
      <c r="C20" s="117">
        <v>0</v>
      </c>
      <c r="D20" s="129" t="s">
        <v>72</v>
      </c>
      <c r="E20" s="119">
        <v>0</v>
      </c>
      <c r="F20" s="120">
        <v>17</v>
      </c>
      <c r="G20" s="129" t="s">
        <v>72</v>
      </c>
      <c r="H20" s="122">
        <v>10</v>
      </c>
      <c r="I20" s="130">
        <f>20*4</f>
        <v>80</v>
      </c>
      <c r="J20" s="131">
        <v>0.5</v>
      </c>
      <c r="K20" s="131">
        <v>3.5</v>
      </c>
      <c r="L20" s="131">
        <v>3.5</v>
      </c>
      <c r="M20" s="131">
        <v>0.5</v>
      </c>
      <c r="N20" s="131">
        <f>I20*3</f>
        <v>240</v>
      </c>
      <c r="O20" s="419">
        <f>I20*(J20+K20+L20+M20)*0.38</f>
        <v>243.2</v>
      </c>
      <c r="P20" s="408"/>
      <c r="Q20" s="127">
        <f>INT((J20+K20+L20+M20)*I20*100+0.5)/100</f>
        <v>640</v>
      </c>
      <c r="R20" s="127">
        <v>0</v>
      </c>
      <c r="S20" s="126">
        <f>INT((J20+K20+L20+M20)*I20*0.15*100+0.5)/100</f>
        <v>96</v>
      </c>
      <c r="T20" s="126">
        <f>INT((J20+K20+L20+M20)*I20*0.2*100+0.5)/100</f>
        <v>128</v>
      </c>
      <c r="U20" s="127">
        <f>INT((K20-0.3+L20-0.3)*I20*100+0.5)/100</f>
        <v>512</v>
      </c>
      <c r="V20" s="127">
        <f>INT(((K20-0.3+L20-0.3))*I20*100+0.5)/100</f>
        <v>512</v>
      </c>
      <c r="W20" s="127">
        <f>U20*0.03</f>
        <v>15.36</v>
      </c>
      <c r="X20" s="432">
        <f>I20</f>
        <v>80</v>
      </c>
      <c r="Z20" s="128"/>
    </row>
    <row r="21" spans="2:26" ht="35.1" customHeight="1" thickBot="1">
      <c r="B21" s="153"/>
      <c r="C21" s="136"/>
      <c r="D21" s="137"/>
      <c r="E21" s="138"/>
      <c r="F21" s="120"/>
      <c r="G21" s="129"/>
      <c r="H21" s="122"/>
      <c r="I21" s="130"/>
      <c r="J21" s="131"/>
      <c r="K21" s="131"/>
      <c r="L21" s="131"/>
      <c r="M21" s="131"/>
      <c r="N21" s="131"/>
      <c r="O21" s="132"/>
      <c r="P21" s="132"/>
      <c r="Q21" s="127"/>
      <c r="R21" s="127"/>
      <c r="S21" s="126"/>
      <c r="T21" s="126"/>
      <c r="U21" s="127"/>
      <c r="V21" s="127"/>
      <c r="W21" s="127"/>
      <c r="X21" s="432"/>
      <c r="Z21" s="128"/>
    </row>
    <row r="22" spans="2:26" ht="35.1" customHeight="1" thickBot="1">
      <c r="B22" s="139" t="s">
        <v>239</v>
      </c>
      <c r="C22" s="140"/>
      <c r="D22" s="141"/>
      <c r="E22" s="142"/>
      <c r="F22" s="140"/>
      <c r="G22" s="143"/>
      <c r="H22" s="142"/>
      <c r="I22" s="144">
        <f>SUM(I7:I21)</f>
        <v>822</v>
      </c>
      <c r="J22" s="145"/>
      <c r="K22" s="145"/>
      <c r="L22" s="145"/>
      <c r="M22" s="145"/>
      <c r="N22" s="144">
        <f t="shared" ref="N22:X22" si="0">SUM(N7:N21)</f>
        <v>2466</v>
      </c>
      <c r="O22" s="144">
        <f t="shared" si="0"/>
        <v>2398.5010000000002</v>
      </c>
      <c r="P22" s="144">
        <f t="shared" si="0"/>
        <v>88.165000000000006</v>
      </c>
      <c r="Q22" s="144">
        <f t="shared" si="0"/>
        <v>6576</v>
      </c>
      <c r="R22" s="144">
        <f t="shared" si="0"/>
        <v>0</v>
      </c>
      <c r="S22" s="144">
        <f t="shared" si="0"/>
        <v>986.40000000000009</v>
      </c>
      <c r="T22" s="144">
        <f t="shared" si="0"/>
        <v>1315.2</v>
      </c>
      <c r="U22" s="144">
        <f t="shared" si="0"/>
        <v>5260.8</v>
      </c>
      <c r="V22" s="144">
        <f t="shared" si="0"/>
        <v>5260.8</v>
      </c>
      <c r="W22" s="144">
        <f t="shared" si="0"/>
        <v>157.82400000000001</v>
      </c>
      <c r="X22" s="146">
        <f t="shared" si="0"/>
        <v>1508</v>
      </c>
      <c r="Z22" s="128"/>
    </row>
    <row r="23" spans="2:26">
      <c r="Z23" s="128"/>
    </row>
    <row r="24" spans="2:26">
      <c r="H24" s="150" t="s">
        <v>215</v>
      </c>
      <c r="I24" s="151">
        <f>I22*(K20+L20)</f>
        <v>5754</v>
      </c>
    </row>
    <row r="25" spans="2:26">
      <c r="O25" s="149"/>
    </row>
    <row r="27" spans="2:26">
      <c r="I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</row>
    <row r="28" spans="2:26">
      <c r="I28" s="149"/>
    </row>
    <row r="29" spans="2:26">
      <c r="I29" s="152"/>
    </row>
  </sheetData>
  <mergeCells count="24">
    <mergeCell ref="B1:X1"/>
    <mergeCell ref="B2:X2"/>
    <mergeCell ref="B3:B5"/>
    <mergeCell ref="C3:H3"/>
    <mergeCell ref="I3:I5"/>
    <mergeCell ref="U3:U5"/>
    <mergeCell ref="F4:H5"/>
    <mergeCell ref="J3:M3"/>
    <mergeCell ref="T3:T5"/>
    <mergeCell ref="V3:V5"/>
    <mergeCell ref="S3:S5"/>
    <mergeCell ref="K4:L4"/>
    <mergeCell ref="W3:W5"/>
    <mergeCell ref="B6:X6"/>
    <mergeCell ref="O4:O5"/>
    <mergeCell ref="P4:P5"/>
    <mergeCell ref="Q3:Q5"/>
    <mergeCell ref="X3:X5"/>
    <mergeCell ref="N3:N5"/>
    <mergeCell ref="O3:P3"/>
    <mergeCell ref="R3:R5"/>
    <mergeCell ref="M4:M5"/>
    <mergeCell ref="C4:E5"/>
    <mergeCell ref="J4:J5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M35"/>
  <sheetViews>
    <sheetView workbookViewId="0">
      <selection activeCell="I35" sqref="A1:I35"/>
    </sheetView>
  </sheetViews>
  <sheetFormatPr defaultColWidth="9.140625" defaultRowHeight="12.75"/>
  <cols>
    <col min="1" max="1" width="11.7109375" style="57" customWidth="1"/>
    <col min="2" max="2" width="37.42578125" style="57" customWidth="1"/>
    <col min="3" max="4" width="8" style="57" customWidth="1"/>
    <col min="5" max="5" width="15.7109375" style="57" customWidth="1"/>
    <col min="6" max="6" width="8" style="57" customWidth="1"/>
    <col min="7" max="8" width="15.5703125" style="57" customWidth="1"/>
    <col min="9" max="9" width="19.85546875" style="57" customWidth="1"/>
    <col min="10" max="16384" width="9.140625" style="57"/>
  </cols>
  <sheetData>
    <row r="1" spans="1:13" ht="15.75">
      <c r="A1" s="703" t="s">
        <v>96</v>
      </c>
      <c r="B1" s="704"/>
      <c r="C1" s="704"/>
      <c r="D1" s="704"/>
      <c r="E1" s="704"/>
      <c r="F1" s="704"/>
      <c r="G1" s="704"/>
      <c r="H1" s="704"/>
      <c r="I1" s="705"/>
    </row>
    <row r="2" spans="1:13" ht="16.5" thickBot="1">
      <c r="A2" s="727" t="str">
        <f>'TERRAP E PAVIM'!B1</f>
        <v>BAIRRO: PARQUE DEL REY</v>
      </c>
      <c r="B2" s="728"/>
      <c r="C2" s="728"/>
      <c r="D2" s="728"/>
      <c r="E2" s="728"/>
      <c r="F2" s="728"/>
      <c r="G2" s="728"/>
      <c r="H2" s="728"/>
      <c r="I2" s="729"/>
    </row>
    <row r="3" spans="1:13" ht="12" customHeight="1">
      <c r="A3" s="721" t="str">
        <f>RESUMO!C49</f>
        <v>RUA C, RUA, E, RUA F, RUA J E RUA MONSIEUR</v>
      </c>
      <c r="B3" s="722"/>
      <c r="C3" s="722"/>
      <c r="D3" s="722"/>
      <c r="E3" s="722"/>
      <c r="F3" s="722"/>
      <c r="G3" s="722"/>
      <c r="H3" s="722"/>
      <c r="I3" s="723"/>
    </row>
    <row r="4" spans="1:13" ht="22.5" customHeight="1" thickBot="1">
      <c r="A4" s="724"/>
      <c r="B4" s="725"/>
      <c r="C4" s="725"/>
      <c r="D4" s="725"/>
      <c r="E4" s="725"/>
      <c r="F4" s="725"/>
      <c r="G4" s="725"/>
      <c r="H4" s="725"/>
      <c r="I4" s="726"/>
    </row>
    <row r="5" spans="1:13" ht="15" customHeight="1">
      <c r="A5" s="689" t="str">
        <f>QUANT!B6</f>
        <v>OBRA: Pavimentação de Vias Urbanas</v>
      </c>
      <c r="B5" s="690"/>
      <c r="C5" s="690"/>
      <c r="D5" s="690"/>
      <c r="E5" s="690"/>
      <c r="F5" s="690"/>
      <c r="G5" s="690"/>
      <c r="H5" s="690"/>
      <c r="I5" s="691"/>
    </row>
    <row r="6" spans="1:13" ht="15" customHeight="1" thickBot="1">
      <c r="A6" s="694" t="s">
        <v>95</v>
      </c>
      <c r="B6" s="670"/>
      <c r="C6" s="670"/>
      <c r="D6" s="695"/>
      <c r="E6" s="670"/>
      <c r="F6" s="670"/>
      <c r="G6" s="695"/>
      <c r="H6" s="670"/>
      <c r="I6" s="696"/>
      <c r="M6" s="78"/>
    </row>
    <row r="7" spans="1:13" ht="16.5" customHeight="1">
      <c r="A7" s="715" t="s">
        <v>205</v>
      </c>
      <c r="B7" s="716"/>
      <c r="C7" s="716"/>
      <c r="D7" s="716"/>
      <c r="E7" s="716"/>
      <c r="F7" s="716"/>
      <c r="G7" s="716"/>
      <c r="H7" s="716"/>
      <c r="I7" s="717"/>
    </row>
    <row r="8" spans="1:13" ht="16.5" customHeight="1" thickBot="1">
      <c r="A8" s="718"/>
      <c r="B8" s="719"/>
      <c r="C8" s="719"/>
      <c r="D8" s="719"/>
      <c r="E8" s="719"/>
      <c r="F8" s="719"/>
      <c r="G8" s="719"/>
      <c r="H8" s="719"/>
      <c r="I8" s="720"/>
    </row>
    <row r="9" spans="1:13" ht="15">
      <c r="A9" s="692" t="s">
        <v>36</v>
      </c>
      <c r="B9" s="706" t="s">
        <v>0</v>
      </c>
      <c r="C9" s="707"/>
      <c r="D9" s="708"/>
      <c r="E9" s="58" t="s">
        <v>80</v>
      </c>
      <c r="F9" s="58" t="s">
        <v>81</v>
      </c>
      <c r="G9" s="58" t="s">
        <v>82</v>
      </c>
      <c r="H9" s="58" t="s">
        <v>83</v>
      </c>
      <c r="I9" s="59" t="s">
        <v>84</v>
      </c>
    </row>
    <row r="10" spans="1:13" ht="15.75" thickBot="1">
      <c r="A10" s="693"/>
      <c r="B10" s="709"/>
      <c r="C10" s="710"/>
      <c r="D10" s="711"/>
      <c r="E10" s="60" t="s">
        <v>85</v>
      </c>
      <c r="F10" s="60" t="s">
        <v>86</v>
      </c>
      <c r="G10" s="60" t="s">
        <v>86</v>
      </c>
      <c r="H10" s="60" t="s">
        <v>86</v>
      </c>
      <c r="I10" s="61" t="s">
        <v>86</v>
      </c>
    </row>
    <row r="11" spans="1:13" ht="15">
      <c r="A11" s="62" t="s">
        <v>49</v>
      </c>
      <c r="B11" s="712" t="s">
        <v>87</v>
      </c>
      <c r="C11" s="713"/>
      <c r="D11" s="714"/>
      <c r="E11" s="63">
        <f>SUM(E12:E15)</f>
        <v>6.080000000000001</v>
      </c>
      <c r="F11" s="63"/>
      <c r="G11" s="64"/>
      <c r="H11" s="65"/>
      <c r="I11" s="66"/>
    </row>
    <row r="12" spans="1:13" ht="15">
      <c r="A12" s="67" t="s">
        <v>50</v>
      </c>
      <c r="B12" s="675" t="s">
        <v>88</v>
      </c>
      <c r="C12" s="676"/>
      <c r="D12" s="677"/>
      <c r="E12" s="68">
        <v>4.01</v>
      </c>
      <c r="F12" s="68"/>
      <c r="G12" s="68"/>
      <c r="H12" s="69"/>
      <c r="I12" s="70"/>
    </row>
    <row r="13" spans="1:13" s="78" customFormat="1" ht="15">
      <c r="A13" s="71" t="s">
        <v>51</v>
      </c>
      <c r="B13" s="72" t="s">
        <v>136</v>
      </c>
      <c r="C13" s="73"/>
      <c r="D13" s="74"/>
      <c r="E13" s="75">
        <v>0.4</v>
      </c>
      <c r="F13" s="75"/>
      <c r="G13" s="75"/>
      <c r="H13" s="76"/>
      <c r="I13" s="77"/>
    </row>
    <row r="14" spans="1:13" ht="15">
      <c r="A14" s="67" t="s">
        <v>89</v>
      </c>
      <c r="B14" s="675" t="s">
        <v>78</v>
      </c>
      <c r="C14" s="676"/>
      <c r="D14" s="677"/>
      <c r="E14" s="68">
        <v>0.56000000000000005</v>
      </c>
      <c r="F14" s="68"/>
      <c r="G14" s="68"/>
      <c r="H14" s="69"/>
      <c r="I14" s="70"/>
    </row>
    <row r="15" spans="1:13" ht="15">
      <c r="A15" s="67" t="s">
        <v>135</v>
      </c>
      <c r="B15" s="675" t="s">
        <v>77</v>
      </c>
      <c r="C15" s="676"/>
      <c r="D15" s="677"/>
      <c r="E15" s="68">
        <v>1.1100000000000001</v>
      </c>
      <c r="F15" s="68"/>
      <c r="G15" s="68"/>
      <c r="H15" s="69"/>
      <c r="I15" s="70"/>
    </row>
    <row r="16" spans="1:13" ht="15">
      <c r="A16" s="79"/>
      <c r="B16" s="697"/>
      <c r="C16" s="698"/>
      <c r="D16" s="699"/>
      <c r="E16" s="80"/>
      <c r="F16" s="81"/>
      <c r="G16" s="80"/>
      <c r="H16" s="82"/>
      <c r="I16" s="83"/>
    </row>
    <row r="17" spans="1:9" ht="15">
      <c r="A17" s="84" t="s">
        <v>37</v>
      </c>
      <c r="B17" s="680" t="s">
        <v>90</v>
      </c>
      <c r="C17" s="676"/>
      <c r="D17" s="677"/>
      <c r="E17" s="85">
        <f>E18</f>
        <v>7.3</v>
      </c>
      <c r="F17" s="85"/>
      <c r="G17" s="68"/>
      <c r="H17" s="69"/>
      <c r="I17" s="70"/>
    </row>
    <row r="18" spans="1:9" ht="15">
      <c r="A18" s="67" t="s">
        <v>48</v>
      </c>
      <c r="B18" s="675" t="s">
        <v>91</v>
      </c>
      <c r="C18" s="676"/>
      <c r="D18" s="677"/>
      <c r="E18" s="68">
        <v>7.3</v>
      </c>
      <c r="F18" s="68"/>
      <c r="G18" s="68"/>
      <c r="H18" s="69"/>
      <c r="I18" s="70"/>
    </row>
    <row r="19" spans="1:9" ht="15">
      <c r="A19" s="86"/>
      <c r="B19" s="700"/>
      <c r="C19" s="701"/>
      <c r="D19" s="702"/>
      <c r="E19" s="87"/>
      <c r="F19" s="88"/>
      <c r="G19" s="87"/>
      <c r="H19" s="89"/>
      <c r="I19" s="90"/>
    </row>
    <row r="20" spans="1:9" ht="15">
      <c r="A20" s="84" t="s">
        <v>38</v>
      </c>
      <c r="B20" s="680" t="s">
        <v>92</v>
      </c>
      <c r="C20" s="676"/>
      <c r="D20" s="677"/>
      <c r="E20" s="85">
        <f>E21+E22+E24+E23</f>
        <v>5.65</v>
      </c>
      <c r="F20" s="85"/>
      <c r="G20" s="68"/>
      <c r="H20" s="91"/>
      <c r="I20" s="70"/>
    </row>
    <row r="21" spans="1:9" ht="15">
      <c r="A21" s="67" t="s">
        <v>46</v>
      </c>
      <c r="B21" s="675" t="s">
        <v>137</v>
      </c>
      <c r="C21" s="676"/>
      <c r="D21" s="677"/>
      <c r="E21" s="92">
        <v>0.65</v>
      </c>
      <c r="F21" s="68"/>
      <c r="G21" s="68"/>
      <c r="H21" s="91"/>
      <c r="I21" s="70"/>
    </row>
    <row r="22" spans="1:9" ht="15">
      <c r="A22" s="67" t="s">
        <v>39</v>
      </c>
      <c r="B22" s="675" t="s">
        <v>138</v>
      </c>
      <c r="C22" s="676"/>
      <c r="D22" s="677"/>
      <c r="E22" s="68">
        <v>3</v>
      </c>
      <c r="F22" s="68"/>
      <c r="G22" s="68"/>
      <c r="H22" s="91"/>
      <c r="I22" s="70"/>
    </row>
    <row r="23" spans="1:9" ht="15">
      <c r="A23" s="67" t="s">
        <v>55</v>
      </c>
      <c r="B23" s="675" t="s">
        <v>139</v>
      </c>
      <c r="C23" s="678"/>
      <c r="D23" s="679"/>
      <c r="E23" s="68">
        <v>2</v>
      </c>
      <c r="F23" s="68"/>
      <c r="G23" s="68"/>
      <c r="H23" s="91"/>
      <c r="I23" s="70"/>
    </row>
    <row r="24" spans="1:9" ht="15">
      <c r="A24" s="67" t="s">
        <v>56</v>
      </c>
      <c r="B24" s="675" t="s">
        <v>79</v>
      </c>
      <c r="C24" s="676"/>
      <c r="D24" s="677"/>
      <c r="E24" s="68">
        <v>0</v>
      </c>
      <c r="F24" s="68"/>
      <c r="G24" s="68"/>
      <c r="H24" s="69"/>
      <c r="I24" s="70"/>
    </row>
    <row r="25" spans="1:9">
      <c r="A25" s="67"/>
      <c r="B25" s="680" t="s">
        <v>93</v>
      </c>
      <c r="C25" s="676"/>
      <c r="D25" s="677"/>
      <c r="E25" s="93"/>
      <c r="F25" s="93"/>
      <c r="G25" s="94"/>
      <c r="H25" s="95"/>
      <c r="I25" s="96"/>
    </row>
    <row r="26" spans="1:9">
      <c r="A26" s="683" t="s">
        <v>94</v>
      </c>
      <c r="B26" s="684"/>
      <c r="C26" s="684"/>
      <c r="D26" s="685"/>
      <c r="E26" s="673">
        <f>TRUNC((((1+((E12+E13+E14)/100))*(1+((E15)/100))*(1+((E17/100)))/(1-((E21+E22+E23+E24)/100)))-1),4)</f>
        <v>0.20699999999999999</v>
      </c>
      <c r="F26" s="681"/>
      <c r="G26" s="681"/>
      <c r="H26" s="681"/>
      <c r="I26" s="671">
        <v>0</v>
      </c>
    </row>
    <row r="27" spans="1:9" ht="23.25" customHeight="1" thickBot="1">
      <c r="A27" s="686"/>
      <c r="B27" s="687"/>
      <c r="C27" s="687"/>
      <c r="D27" s="688"/>
      <c r="E27" s="674"/>
      <c r="F27" s="682"/>
      <c r="G27" s="682"/>
      <c r="H27" s="682"/>
      <c r="I27" s="672"/>
    </row>
    <row r="28" spans="1:9">
      <c r="A28" s="97"/>
      <c r="B28" s="98"/>
      <c r="C28" s="98"/>
      <c r="D28" s="98"/>
      <c r="E28" s="98"/>
      <c r="F28" s="99"/>
      <c r="G28" s="99"/>
      <c r="H28" s="99"/>
      <c r="I28" s="100"/>
    </row>
    <row r="29" spans="1:9" ht="12.75" customHeight="1">
      <c r="A29" s="101" t="s">
        <v>140</v>
      </c>
      <c r="B29" s="34"/>
      <c r="C29" s="102"/>
      <c r="D29" s="102"/>
      <c r="E29" s="102"/>
      <c r="F29" s="103"/>
      <c r="G29" s="104"/>
      <c r="H29" s="103"/>
      <c r="I29" s="105"/>
    </row>
    <row r="30" spans="1:9">
      <c r="A30" s="101"/>
      <c r="B30" s="102"/>
      <c r="C30" s="102"/>
      <c r="D30" s="102"/>
      <c r="E30" s="102"/>
      <c r="F30" s="103"/>
      <c r="G30" s="103"/>
      <c r="H30" s="103"/>
      <c r="I30" s="105"/>
    </row>
    <row r="31" spans="1:9" ht="15.75">
      <c r="A31" s="101"/>
      <c r="B31" s="102"/>
      <c r="C31" s="102"/>
      <c r="D31" s="102"/>
      <c r="E31" s="102"/>
      <c r="F31" s="103"/>
      <c r="G31" s="667"/>
      <c r="H31" s="667"/>
      <c r="I31" s="106"/>
    </row>
    <row r="32" spans="1:9" ht="15.75">
      <c r="A32" s="101"/>
      <c r="B32" s="665"/>
      <c r="C32" s="666"/>
      <c r="D32" s="666"/>
      <c r="E32" s="666"/>
      <c r="F32" s="107"/>
      <c r="G32" s="667"/>
      <c r="H32" s="667"/>
      <c r="I32" s="106"/>
    </row>
    <row r="33" spans="1:9" ht="15.75">
      <c r="A33" s="101"/>
      <c r="B33" s="666"/>
      <c r="C33" s="666"/>
      <c r="D33" s="666"/>
      <c r="E33" s="666"/>
      <c r="F33" s="103"/>
      <c r="G33" s="667"/>
      <c r="H33" s="667"/>
      <c r="I33" s="106"/>
    </row>
    <row r="34" spans="1:9" ht="15.75">
      <c r="A34" s="101"/>
      <c r="B34" s="669"/>
      <c r="C34" s="666"/>
      <c r="D34" s="666"/>
      <c r="E34" s="666"/>
      <c r="F34" s="103"/>
      <c r="G34" s="667"/>
      <c r="H34" s="668"/>
      <c r="I34" s="106"/>
    </row>
    <row r="35" spans="1:9" ht="13.5" thickBot="1">
      <c r="A35" s="108"/>
      <c r="B35" s="670"/>
      <c r="C35" s="670"/>
      <c r="D35" s="670"/>
      <c r="E35" s="670"/>
      <c r="F35" s="109"/>
      <c r="G35" s="110"/>
      <c r="H35" s="109"/>
      <c r="I35" s="111"/>
    </row>
  </sheetData>
  <mergeCells count="36">
    <mergeCell ref="A1:I1"/>
    <mergeCell ref="B12:D12"/>
    <mergeCell ref="B14:D14"/>
    <mergeCell ref="B9:D10"/>
    <mergeCell ref="B11:D11"/>
    <mergeCell ref="A7:I8"/>
    <mergeCell ref="A3:I4"/>
    <mergeCell ref="A2:I2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32:E33"/>
    <mergeCell ref="G33:G34"/>
    <mergeCell ref="H33:H34"/>
    <mergeCell ref="B34:E35"/>
    <mergeCell ref="G31:G32"/>
    <mergeCell ref="H31:H3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35"/>
  <sheetViews>
    <sheetView workbookViewId="0">
      <selection activeCell="I35" sqref="A1:I35"/>
    </sheetView>
  </sheetViews>
  <sheetFormatPr defaultColWidth="9.140625" defaultRowHeight="12.75"/>
  <cols>
    <col min="1" max="1" width="11.7109375" style="35" customWidth="1"/>
    <col min="2" max="2" width="37.42578125" style="35" customWidth="1"/>
    <col min="3" max="4" width="8" style="35" customWidth="1"/>
    <col min="5" max="5" width="15.7109375" style="35" customWidth="1"/>
    <col min="6" max="6" width="8" style="35" customWidth="1"/>
    <col min="7" max="8" width="15.5703125" style="35" customWidth="1"/>
    <col min="9" max="9" width="19.85546875" style="35" customWidth="1"/>
    <col min="10" max="16384" width="9.140625" style="35"/>
  </cols>
  <sheetData>
    <row r="1" spans="1:13" ht="15.75">
      <c r="A1" s="733" t="s">
        <v>96</v>
      </c>
      <c r="B1" s="734"/>
      <c r="C1" s="734"/>
      <c r="D1" s="734"/>
      <c r="E1" s="734"/>
      <c r="F1" s="734"/>
      <c r="G1" s="734"/>
      <c r="H1" s="734"/>
      <c r="I1" s="735"/>
    </row>
    <row r="2" spans="1:13" ht="16.5" thickBot="1">
      <c r="A2" s="746" t="str">
        <f>BDI!A2</f>
        <v>BAIRRO: PARQUE DEL REY</v>
      </c>
      <c r="B2" s="747"/>
      <c r="C2" s="747"/>
      <c r="D2" s="747"/>
      <c r="E2" s="747"/>
      <c r="F2" s="747"/>
      <c r="G2" s="747"/>
      <c r="H2" s="747"/>
      <c r="I2" s="748"/>
    </row>
    <row r="3" spans="1:13" ht="14.25" customHeight="1">
      <c r="A3" s="721" t="str">
        <f>BDI!A3</f>
        <v>RUA C, RUA, E, RUA F, RUA J E RUA MONSIEUR</v>
      </c>
      <c r="B3" s="722"/>
      <c r="C3" s="722"/>
      <c r="D3" s="722"/>
      <c r="E3" s="722"/>
      <c r="F3" s="722"/>
      <c r="G3" s="722"/>
      <c r="H3" s="722"/>
      <c r="I3" s="723"/>
    </row>
    <row r="4" spans="1:13" ht="20.25" customHeight="1" thickBot="1">
      <c r="A4" s="724"/>
      <c r="B4" s="725"/>
      <c r="C4" s="725"/>
      <c r="D4" s="725"/>
      <c r="E4" s="725"/>
      <c r="F4" s="725"/>
      <c r="G4" s="725"/>
      <c r="H4" s="725"/>
      <c r="I4" s="726"/>
    </row>
    <row r="5" spans="1:13" ht="15" customHeight="1">
      <c r="A5" s="749" t="str">
        <f>QUANT!B6</f>
        <v>OBRA: Pavimentação de Vias Urbanas</v>
      </c>
      <c r="B5" s="750"/>
      <c r="C5" s="750"/>
      <c r="D5" s="750"/>
      <c r="E5" s="750"/>
      <c r="F5" s="750"/>
      <c r="G5" s="750"/>
      <c r="H5" s="750"/>
      <c r="I5" s="751"/>
    </row>
    <row r="6" spans="1:13" ht="15" customHeight="1" thickBot="1">
      <c r="A6" s="752" t="s">
        <v>95</v>
      </c>
      <c r="B6" s="753"/>
      <c r="C6" s="753"/>
      <c r="D6" s="754"/>
      <c r="E6" s="753"/>
      <c r="F6" s="753"/>
      <c r="G6" s="754"/>
      <c r="H6" s="753"/>
      <c r="I6" s="755"/>
    </row>
    <row r="7" spans="1:13" ht="16.5" customHeight="1">
      <c r="A7" s="715" t="s">
        <v>205</v>
      </c>
      <c r="B7" s="716"/>
      <c r="C7" s="716"/>
      <c r="D7" s="716"/>
      <c r="E7" s="716"/>
      <c r="F7" s="716"/>
      <c r="G7" s="716"/>
      <c r="H7" s="716"/>
      <c r="I7" s="717"/>
    </row>
    <row r="8" spans="1:13" ht="16.5" customHeight="1" thickBot="1">
      <c r="A8" s="718"/>
      <c r="B8" s="719"/>
      <c r="C8" s="719"/>
      <c r="D8" s="719"/>
      <c r="E8" s="719"/>
      <c r="F8" s="719"/>
      <c r="G8" s="719"/>
      <c r="H8" s="719"/>
      <c r="I8" s="720"/>
    </row>
    <row r="9" spans="1:13" ht="15">
      <c r="A9" s="692" t="s">
        <v>36</v>
      </c>
      <c r="B9" s="706" t="s">
        <v>0</v>
      </c>
      <c r="C9" s="737"/>
      <c r="D9" s="738"/>
      <c r="E9" s="18" t="s">
        <v>80</v>
      </c>
      <c r="F9" s="18" t="s">
        <v>81</v>
      </c>
      <c r="G9" s="18" t="s">
        <v>82</v>
      </c>
      <c r="H9" s="18" t="s">
        <v>83</v>
      </c>
      <c r="I9" s="19" t="s">
        <v>84</v>
      </c>
    </row>
    <row r="10" spans="1:13" ht="15.75" thickBot="1">
      <c r="A10" s="736"/>
      <c r="B10" s="739"/>
      <c r="C10" s="740"/>
      <c r="D10" s="741"/>
      <c r="E10" s="20" t="s">
        <v>85</v>
      </c>
      <c r="F10" s="20" t="s">
        <v>86</v>
      </c>
      <c r="G10" s="20" t="s">
        <v>86</v>
      </c>
      <c r="H10" s="20" t="s">
        <v>86</v>
      </c>
      <c r="I10" s="21" t="s">
        <v>86</v>
      </c>
    </row>
    <row r="11" spans="1:13" ht="15">
      <c r="A11" s="13" t="s">
        <v>49</v>
      </c>
      <c r="B11" s="742" t="s">
        <v>87</v>
      </c>
      <c r="C11" s="743"/>
      <c r="D11" s="744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50</v>
      </c>
      <c r="B12" s="745" t="s">
        <v>88</v>
      </c>
      <c r="C12" s="731"/>
      <c r="D12" s="732"/>
      <c r="E12" s="3">
        <v>3.45</v>
      </c>
      <c r="F12" s="3"/>
      <c r="G12" s="3"/>
      <c r="H12" s="4"/>
      <c r="I12" s="5"/>
      <c r="M12" s="46"/>
    </row>
    <row r="13" spans="1:13" s="46" customFormat="1" ht="15">
      <c r="A13" s="39" t="s">
        <v>51</v>
      </c>
      <c r="B13" s="40" t="s">
        <v>136</v>
      </c>
      <c r="C13" s="41"/>
      <c r="D13" s="42"/>
      <c r="E13" s="43">
        <v>0.48</v>
      </c>
      <c r="F13" s="43"/>
      <c r="G13" s="43"/>
      <c r="H13" s="44"/>
      <c r="I13" s="45"/>
    </row>
    <row r="14" spans="1:13" ht="15">
      <c r="A14" s="6" t="s">
        <v>89</v>
      </c>
      <c r="B14" s="745" t="s">
        <v>78</v>
      </c>
      <c r="C14" s="731"/>
      <c r="D14" s="732"/>
      <c r="E14" s="3">
        <v>0.85</v>
      </c>
      <c r="F14" s="3"/>
      <c r="G14" s="3"/>
      <c r="H14" s="4"/>
      <c r="I14" s="5"/>
    </row>
    <row r="15" spans="1:13" ht="15">
      <c r="A15" s="6" t="s">
        <v>135</v>
      </c>
      <c r="B15" s="745" t="s">
        <v>77</v>
      </c>
      <c r="C15" s="731"/>
      <c r="D15" s="732"/>
      <c r="E15" s="3">
        <v>0.85</v>
      </c>
      <c r="F15" s="3"/>
      <c r="G15" s="3"/>
      <c r="H15" s="4"/>
      <c r="I15" s="5"/>
    </row>
    <row r="16" spans="1:13" ht="15">
      <c r="A16" s="47"/>
      <c r="B16" s="758"/>
      <c r="C16" s="759"/>
      <c r="D16" s="760"/>
      <c r="E16" s="48"/>
      <c r="F16" s="49"/>
      <c r="G16" s="48"/>
      <c r="H16" s="50"/>
      <c r="I16" s="51"/>
    </row>
    <row r="17" spans="1:9" ht="15">
      <c r="A17" s="1" t="s">
        <v>37</v>
      </c>
      <c r="B17" s="730" t="s">
        <v>90</v>
      </c>
      <c r="C17" s="731"/>
      <c r="D17" s="732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48</v>
      </c>
      <c r="B18" s="745" t="s">
        <v>91</v>
      </c>
      <c r="C18" s="731"/>
      <c r="D18" s="732"/>
      <c r="E18" s="3">
        <v>5.1100000000000003</v>
      </c>
      <c r="F18" s="3"/>
      <c r="G18" s="3"/>
      <c r="H18" s="4"/>
      <c r="I18" s="5"/>
    </row>
    <row r="19" spans="1:9" ht="15">
      <c r="A19" s="52"/>
      <c r="B19" s="761"/>
      <c r="C19" s="762"/>
      <c r="D19" s="763"/>
      <c r="E19" s="53"/>
      <c r="F19" s="54"/>
      <c r="G19" s="53"/>
      <c r="H19" s="55"/>
      <c r="I19" s="56"/>
    </row>
    <row r="20" spans="1:9" ht="15">
      <c r="A20" s="1" t="s">
        <v>38</v>
      </c>
      <c r="B20" s="730" t="s">
        <v>92</v>
      </c>
      <c r="C20" s="731"/>
      <c r="D20" s="732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46</v>
      </c>
      <c r="B21" s="745" t="s">
        <v>137</v>
      </c>
      <c r="C21" s="731"/>
      <c r="D21" s="732"/>
      <c r="E21" s="22">
        <v>0.65</v>
      </c>
      <c r="F21" s="3"/>
      <c r="G21" s="3"/>
      <c r="H21" s="7"/>
      <c r="I21" s="5"/>
    </row>
    <row r="22" spans="1:9" ht="15">
      <c r="A22" s="6" t="s">
        <v>39</v>
      </c>
      <c r="B22" s="745" t="s">
        <v>138</v>
      </c>
      <c r="C22" s="731"/>
      <c r="D22" s="732"/>
      <c r="E22" s="3">
        <v>3</v>
      </c>
      <c r="F22" s="3"/>
      <c r="G22" s="3"/>
      <c r="H22" s="7"/>
      <c r="I22" s="5"/>
    </row>
    <row r="23" spans="1:9" ht="15">
      <c r="A23" s="6" t="s">
        <v>55</v>
      </c>
      <c r="B23" s="745" t="s">
        <v>139</v>
      </c>
      <c r="C23" s="756"/>
      <c r="D23" s="757"/>
      <c r="E23" s="3">
        <v>0</v>
      </c>
      <c r="F23" s="3"/>
      <c r="G23" s="3"/>
      <c r="H23" s="7"/>
      <c r="I23" s="5"/>
    </row>
    <row r="24" spans="1:9" ht="15">
      <c r="A24" s="6" t="s">
        <v>56</v>
      </c>
      <c r="B24" s="745" t="s">
        <v>79</v>
      </c>
      <c r="C24" s="731"/>
      <c r="D24" s="732"/>
      <c r="E24" s="3">
        <v>0</v>
      </c>
      <c r="F24" s="3"/>
      <c r="G24" s="3"/>
      <c r="H24" s="4"/>
      <c r="I24" s="5"/>
    </row>
    <row r="25" spans="1:9">
      <c r="A25" s="6"/>
      <c r="B25" s="730" t="s">
        <v>93</v>
      </c>
      <c r="C25" s="731"/>
      <c r="D25" s="732"/>
      <c r="E25" s="8"/>
      <c r="F25" s="8"/>
      <c r="G25" s="9"/>
      <c r="H25" s="10"/>
      <c r="I25" s="11"/>
    </row>
    <row r="26" spans="1:9">
      <c r="A26" s="683" t="s">
        <v>94</v>
      </c>
      <c r="B26" s="769"/>
      <c r="C26" s="769"/>
      <c r="D26" s="770"/>
      <c r="E26" s="673">
        <f>TRUNC(((((1+((E12+E13+E14)/100))*(1+((E15)/100))*(1+((E17/100)))/(1-((E21+E22+E23+E24)/100)))-1)),4)</f>
        <v>0.1527</v>
      </c>
      <c r="F26" s="681"/>
      <c r="G26" s="681"/>
      <c r="H26" s="681"/>
      <c r="I26" s="671">
        <v>0</v>
      </c>
    </row>
    <row r="27" spans="1:9" ht="23.25" customHeight="1" thickBot="1">
      <c r="A27" s="771"/>
      <c r="B27" s="772"/>
      <c r="C27" s="772"/>
      <c r="D27" s="773"/>
      <c r="E27" s="765"/>
      <c r="F27" s="766"/>
      <c r="G27" s="766"/>
      <c r="H27" s="766"/>
      <c r="I27" s="764"/>
    </row>
    <row r="28" spans="1:9">
      <c r="A28" s="36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37" t="s">
        <v>140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37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37"/>
      <c r="B31" s="12"/>
      <c r="C31" s="12"/>
      <c r="D31" s="12"/>
      <c r="E31" s="12"/>
      <c r="F31" s="23"/>
      <c r="G31" s="667"/>
      <c r="H31" s="667"/>
      <c r="I31" s="26"/>
    </row>
    <row r="32" spans="1:9" ht="15.75">
      <c r="A32" s="37"/>
      <c r="B32" s="665"/>
      <c r="C32" s="767"/>
      <c r="D32" s="767"/>
      <c r="E32" s="767"/>
      <c r="F32" s="27"/>
      <c r="G32" s="667"/>
      <c r="H32" s="667"/>
      <c r="I32" s="26"/>
    </row>
    <row r="33" spans="1:9" ht="15.75">
      <c r="A33" s="37"/>
      <c r="B33" s="767"/>
      <c r="C33" s="767"/>
      <c r="D33" s="767"/>
      <c r="E33" s="767"/>
      <c r="F33" s="23"/>
      <c r="G33" s="667"/>
      <c r="H33" s="667"/>
      <c r="I33" s="26"/>
    </row>
    <row r="34" spans="1:9" ht="15.75">
      <c r="A34" s="37"/>
      <c r="B34" s="669"/>
      <c r="C34" s="767"/>
      <c r="D34" s="767"/>
      <c r="E34" s="767"/>
      <c r="F34" s="23"/>
      <c r="G34" s="667"/>
      <c r="H34" s="768"/>
      <c r="I34" s="26"/>
    </row>
    <row r="35" spans="1:9" ht="13.5" thickBot="1">
      <c r="A35" s="38"/>
      <c r="B35" s="753"/>
      <c r="C35" s="753"/>
      <c r="D35" s="753"/>
      <c r="E35" s="753"/>
      <c r="F35" s="29"/>
      <c r="G35" s="28"/>
      <c r="H35" s="29"/>
      <c r="I35" s="30"/>
    </row>
  </sheetData>
  <mergeCells count="36"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  <mergeCell ref="B22:D22"/>
    <mergeCell ref="B23:D23"/>
    <mergeCell ref="B16:D16"/>
    <mergeCell ref="B15:D15"/>
    <mergeCell ref="B17:D17"/>
    <mergeCell ref="B18:D18"/>
    <mergeCell ref="B19:D19"/>
    <mergeCell ref="B20:D20"/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opLeftCell="A57" zoomScale="115" zoomScaleNormal="115" workbookViewId="0">
      <selection activeCell="J83" sqref="J83"/>
    </sheetView>
  </sheetViews>
  <sheetFormatPr defaultRowHeight="12.75"/>
  <cols>
    <col min="1" max="1" width="13.7109375" customWidth="1"/>
    <col min="2" max="2" width="35" customWidth="1"/>
    <col min="3" max="3" width="15.140625" customWidth="1"/>
    <col min="4" max="4" width="10.85546875" bestFit="1" customWidth="1"/>
    <col min="5" max="5" width="11.42578125" customWidth="1"/>
    <col min="6" max="6" width="16.140625" bestFit="1" customWidth="1"/>
    <col min="7" max="7" width="9.85546875" customWidth="1"/>
    <col min="17" max="17" width="13.7109375" customWidth="1"/>
    <col min="18" max="18" width="15.5703125" customWidth="1"/>
    <col min="19" max="19" width="14.42578125" bestFit="1" customWidth="1"/>
    <col min="20" max="20" width="10.85546875" bestFit="1" customWidth="1"/>
    <col min="21" max="21" width="10.42578125" customWidth="1"/>
    <col min="22" max="22" width="16.140625" bestFit="1" customWidth="1"/>
    <col min="23" max="23" width="12.7109375" customWidth="1"/>
    <col min="257" max="257" width="13.7109375" customWidth="1"/>
    <col min="258" max="258" width="35" customWidth="1"/>
    <col min="259" max="259" width="15.140625" customWidth="1"/>
    <col min="260" max="260" width="10.85546875" bestFit="1" customWidth="1"/>
    <col min="261" max="261" width="11.42578125" customWidth="1"/>
    <col min="262" max="262" width="16.140625" bestFit="1" customWidth="1"/>
    <col min="263" max="263" width="9.85546875" customWidth="1"/>
    <col min="273" max="273" width="13.7109375" customWidth="1"/>
    <col min="274" max="274" width="15.5703125" customWidth="1"/>
    <col min="275" max="275" width="14.42578125" bestFit="1" customWidth="1"/>
    <col min="276" max="276" width="10.85546875" bestFit="1" customWidth="1"/>
    <col min="277" max="277" width="10.42578125" customWidth="1"/>
    <col min="278" max="278" width="16.140625" bestFit="1" customWidth="1"/>
    <col min="279" max="279" width="12.7109375" customWidth="1"/>
    <col min="513" max="513" width="13.7109375" customWidth="1"/>
    <col min="514" max="514" width="35" customWidth="1"/>
    <col min="515" max="515" width="15.140625" customWidth="1"/>
    <col min="516" max="516" width="10.85546875" bestFit="1" customWidth="1"/>
    <col min="517" max="517" width="11.42578125" customWidth="1"/>
    <col min="518" max="518" width="16.140625" bestFit="1" customWidth="1"/>
    <col min="519" max="519" width="9.85546875" customWidth="1"/>
    <col min="529" max="529" width="13.7109375" customWidth="1"/>
    <col min="530" max="530" width="15.5703125" customWidth="1"/>
    <col min="531" max="531" width="14.42578125" bestFit="1" customWidth="1"/>
    <col min="532" max="532" width="10.85546875" bestFit="1" customWidth="1"/>
    <col min="533" max="533" width="10.42578125" customWidth="1"/>
    <col min="534" max="534" width="16.140625" bestFit="1" customWidth="1"/>
    <col min="535" max="535" width="12.7109375" customWidth="1"/>
    <col min="769" max="769" width="13.7109375" customWidth="1"/>
    <col min="770" max="770" width="35" customWidth="1"/>
    <col min="771" max="771" width="15.140625" customWidth="1"/>
    <col min="772" max="772" width="10.85546875" bestFit="1" customWidth="1"/>
    <col min="773" max="773" width="11.42578125" customWidth="1"/>
    <col min="774" max="774" width="16.140625" bestFit="1" customWidth="1"/>
    <col min="775" max="775" width="9.85546875" customWidth="1"/>
    <col min="785" max="785" width="13.7109375" customWidth="1"/>
    <col min="786" max="786" width="15.5703125" customWidth="1"/>
    <col min="787" max="787" width="14.42578125" bestFit="1" customWidth="1"/>
    <col min="788" max="788" width="10.85546875" bestFit="1" customWidth="1"/>
    <col min="789" max="789" width="10.42578125" customWidth="1"/>
    <col min="790" max="790" width="16.140625" bestFit="1" customWidth="1"/>
    <col min="791" max="791" width="12.7109375" customWidth="1"/>
    <col min="1025" max="1025" width="13.7109375" customWidth="1"/>
    <col min="1026" max="1026" width="35" customWidth="1"/>
    <col min="1027" max="1027" width="15.140625" customWidth="1"/>
    <col min="1028" max="1028" width="10.85546875" bestFit="1" customWidth="1"/>
    <col min="1029" max="1029" width="11.42578125" customWidth="1"/>
    <col min="1030" max="1030" width="16.140625" bestFit="1" customWidth="1"/>
    <col min="1031" max="1031" width="9.85546875" customWidth="1"/>
    <col min="1041" max="1041" width="13.7109375" customWidth="1"/>
    <col min="1042" max="1042" width="15.5703125" customWidth="1"/>
    <col min="1043" max="1043" width="14.42578125" bestFit="1" customWidth="1"/>
    <col min="1044" max="1044" width="10.85546875" bestFit="1" customWidth="1"/>
    <col min="1045" max="1045" width="10.42578125" customWidth="1"/>
    <col min="1046" max="1046" width="16.140625" bestFit="1" customWidth="1"/>
    <col min="1047" max="1047" width="12.7109375" customWidth="1"/>
    <col min="1281" max="1281" width="13.7109375" customWidth="1"/>
    <col min="1282" max="1282" width="35" customWidth="1"/>
    <col min="1283" max="1283" width="15.140625" customWidth="1"/>
    <col min="1284" max="1284" width="10.85546875" bestFit="1" customWidth="1"/>
    <col min="1285" max="1285" width="11.42578125" customWidth="1"/>
    <col min="1286" max="1286" width="16.140625" bestFit="1" customWidth="1"/>
    <col min="1287" max="1287" width="9.85546875" customWidth="1"/>
    <col min="1297" max="1297" width="13.7109375" customWidth="1"/>
    <col min="1298" max="1298" width="15.5703125" customWidth="1"/>
    <col min="1299" max="1299" width="14.42578125" bestFit="1" customWidth="1"/>
    <col min="1300" max="1300" width="10.85546875" bestFit="1" customWidth="1"/>
    <col min="1301" max="1301" width="10.42578125" customWidth="1"/>
    <col min="1302" max="1302" width="16.140625" bestFit="1" customWidth="1"/>
    <col min="1303" max="1303" width="12.7109375" customWidth="1"/>
    <col min="1537" max="1537" width="13.7109375" customWidth="1"/>
    <col min="1538" max="1538" width="35" customWidth="1"/>
    <col min="1539" max="1539" width="15.140625" customWidth="1"/>
    <col min="1540" max="1540" width="10.85546875" bestFit="1" customWidth="1"/>
    <col min="1541" max="1541" width="11.42578125" customWidth="1"/>
    <col min="1542" max="1542" width="16.140625" bestFit="1" customWidth="1"/>
    <col min="1543" max="1543" width="9.85546875" customWidth="1"/>
    <col min="1553" max="1553" width="13.7109375" customWidth="1"/>
    <col min="1554" max="1554" width="15.5703125" customWidth="1"/>
    <col min="1555" max="1555" width="14.42578125" bestFit="1" customWidth="1"/>
    <col min="1556" max="1556" width="10.85546875" bestFit="1" customWidth="1"/>
    <col min="1557" max="1557" width="10.42578125" customWidth="1"/>
    <col min="1558" max="1558" width="16.140625" bestFit="1" customWidth="1"/>
    <col min="1559" max="1559" width="12.7109375" customWidth="1"/>
    <col min="1793" max="1793" width="13.7109375" customWidth="1"/>
    <col min="1794" max="1794" width="35" customWidth="1"/>
    <col min="1795" max="1795" width="15.140625" customWidth="1"/>
    <col min="1796" max="1796" width="10.85546875" bestFit="1" customWidth="1"/>
    <col min="1797" max="1797" width="11.42578125" customWidth="1"/>
    <col min="1798" max="1798" width="16.140625" bestFit="1" customWidth="1"/>
    <col min="1799" max="1799" width="9.85546875" customWidth="1"/>
    <col min="1809" max="1809" width="13.7109375" customWidth="1"/>
    <col min="1810" max="1810" width="15.5703125" customWidth="1"/>
    <col min="1811" max="1811" width="14.42578125" bestFit="1" customWidth="1"/>
    <col min="1812" max="1812" width="10.85546875" bestFit="1" customWidth="1"/>
    <col min="1813" max="1813" width="10.42578125" customWidth="1"/>
    <col min="1814" max="1814" width="16.140625" bestFit="1" customWidth="1"/>
    <col min="1815" max="1815" width="12.7109375" customWidth="1"/>
    <col min="2049" max="2049" width="13.7109375" customWidth="1"/>
    <col min="2050" max="2050" width="35" customWidth="1"/>
    <col min="2051" max="2051" width="15.140625" customWidth="1"/>
    <col min="2052" max="2052" width="10.85546875" bestFit="1" customWidth="1"/>
    <col min="2053" max="2053" width="11.42578125" customWidth="1"/>
    <col min="2054" max="2054" width="16.140625" bestFit="1" customWidth="1"/>
    <col min="2055" max="2055" width="9.85546875" customWidth="1"/>
    <col min="2065" max="2065" width="13.7109375" customWidth="1"/>
    <col min="2066" max="2066" width="15.5703125" customWidth="1"/>
    <col min="2067" max="2067" width="14.42578125" bestFit="1" customWidth="1"/>
    <col min="2068" max="2068" width="10.85546875" bestFit="1" customWidth="1"/>
    <col min="2069" max="2069" width="10.42578125" customWidth="1"/>
    <col min="2070" max="2070" width="16.140625" bestFit="1" customWidth="1"/>
    <col min="2071" max="2071" width="12.7109375" customWidth="1"/>
    <col min="2305" max="2305" width="13.7109375" customWidth="1"/>
    <col min="2306" max="2306" width="35" customWidth="1"/>
    <col min="2307" max="2307" width="15.140625" customWidth="1"/>
    <col min="2308" max="2308" width="10.85546875" bestFit="1" customWidth="1"/>
    <col min="2309" max="2309" width="11.42578125" customWidth="1"/>
    <col min="2310" max="2310" width="16.140625" bestFit="1" customWidth="1"/>
    <col min="2311" max="2311" width="9.85546875" customWidth="1"/>
    <col min="2321" max="2321" width="13.7109375" customWidth="1"/>
    <col min="2322" max="2322" width="15.5703125" customWidth="1"/>
    <col min="2323" max="2323" width="14.42578125" bestFit="1" customWidth="1"/>
    <col min="2324" max="2324" width="10.85546875" bestFit="1" customWidth="1"/>
    <col min="2325" max="2325" width="10.42578125" customWidth="1"/>
    <col min="2326" max="2326" width="16.140625" bestFit="1" customWidth="1"/>
    <col min="2327" max="2327" width="12.7109375" customWidth="1"/>
    <col min="2561" max="2561" width="13.7109375" customWidth="1"/>
    <col min="2562" max="2562" width="35" customWidth="1"/>
    <col min="2563" max="2563" width="15.140625" customWidth="1"/>
    <col min="2564" max="2564" width="10.85546875" bestFit="1" customWidth="1"/>
    <col min="2565" max="2565" width="11.42578125" customWidth="1"/>
    <col min="2566" max="2566" width="16.140625" bestFit="1" customWidth="1"/>
    <col min="2567" max="2567" width="9.85546875" customWidth="1"/>
    <col min="2577" max="2577" width="13.7109375" customWidth="1"/>
    <col min="2578" max="2578" width="15.5703125" customWidth="1"/>
    <col min="2579" max="2579" width="14.42578125" bestFit="1" customWidth="1"/>
    <col min="2580" max="2580" width="10.85546875" bestFit="1" customWidth="1"/>
    <col min="2581" max="2581" width="10.42578125" customWidth="1"/>
    <col min="2582" max="2582" width="16.140625" bestFit="1" customWidth="1"/>
    <col min="2583" max="2583" width="12.7109375" customWidth="1"/>
    <col min="2817" max="2817" width="13.7109375" customWidth="1"/>
    <col min="2818" max="2818" width="35" customWidth="1"/>
    <col min="2819" max="2819" width="15.140625" customWidth="1"/>
    <col min="2820" max="2820" width="10.85546875" bestFit="1" customWidth="1"/>
    <col min="2821" max="2821" width="11.42578125" customWidth="1"/>
    <col min="2822" max="2822" width="16.140625" bestFit="1" customWidth="1"/>
    <col min="2823" max="2823" width="9.85546875" customWidth="1"/>
    <col min="2833" max="2833" width="13.7109375" customWidth="1"/>
    <col min="2834" max="2834" width="15.5703125" customWidth="1"/>
    <col min="2835" max="2835" width="14.42578125" bestFit="1" customWidth="1"/>
    <col min="2836" max="2836" width="10.85546875" bestFit="1" customWidth="1"/>
    <col min="2837" max="2837" width="10.42578125" customWidth="1"/>
    <col min="2838" max="2838" width="16.140625" bestFit="1" customWidth="1"/>
    <col min="2839" max="2839" width="12.7109375" customWidth="1"/>
    <col min="3073" max="3073" width="13.7109375" customWidth="1"/>
    <col min="3074" max="3074" width="35" customWidth="1"/>
    <col min="3075" max="3075" width="15.140625" customWidth="1"/>
    <col min="3076" max="3076" width="10.85546875" bestFit="1" customWidth="1"/>
    <col min="3077" max="3077" width="11.42578125" customWidth="1"/>
    <col min="3078" max="3078" width="16.140625" bestFit="1" customWidth="1"/>
    <col min="3079" max="3079" width="9.85546875" customWidth="1"/>
    <col min="3089" max="3089" width="13.7109375" customWidth="1"/>
    <col min="3090" max="3090" width="15.5703125" customWidth="1"/>
    <col min="3091" max="3091" width="14.42578125" bestFit="1" customWidth="1"/>
    <col min="3092" max="3092" width="10.85546875" bestFit="1" customWidth="1"/>
    <col min="3093" max="3093" width="10.42578125" customWidth="1"/>
    <col min="3094" max="3094" width="16.140625" bestFit="1" customWidth="1"/>
    <col min="3095" max="3095" width="12.7109375" customWidth="1"/>
    <col min="3329" max="3329" width="13.7109375" customWidth="1"/>
    <col min="3330" max="3330" width="35" customWidth="1"/>
    <col min="3331" max="3331" width="15.140625" customWidth="1"/>
    <col min="3332" max="3332" width="10.85546875" bestFit="1" customWidth="1"/>
    <col min="3333" max="3333" width="11.42578125" customWidth="1"/>
    <col min="3334" max="3334" width="16.140625" bestFit="1" customWidth="1"/>
    <col min="3335" max="3335" width="9.85546875" customWidth="1"/>
    <col min="3345" max="3345" width="13.7109375" customWidth="1"/>
    <col min="3346" max="3346" width="15.5703125" customWidth="1"/>
    <col min="3347" max="3347" width="14.42578125" bestFit="1" customWidth="1"/>
    <col min="3348" max="3348" width="10.85546875" bestFit="1" customWidth="1"/>
    <col min="3349" max="3349" width="10.42578125" customWidth="1"/>
    <col min="3350" max="3350" width="16.140625" bestFit="1" customWidth="1"/>
    <col min="3351" max="3351" width="12.7109375" customWidth="1"/>
    <col min="3585" max="3585" width="13.7109375" customWidth="1"/>
    <col min="3586" max="3586" width="35" customWidth="1"/>
    <col min="3587" max="3587" width="15.140625" customWidth="1"/>
    <col min="3588" max="3588" width="10.85546875" bestFit="1" customWidth="1"/>
    <col min="3589" max="3589" width="11.42578125" customWidth="1"/>
    <col min="3590" max="3590" width="16.140625" bestFit="1" customWidth="1"/>
    <col min="3591" max="3591" width="9.85546875" customWidth="1"/>
    <col min="3601" max="3601" width="13.7109375" customWidth="1"/>
    <col min="3602" max="3602" width="15.5703125" customWidth="1"/>
    <col min="3603" max="3603" width="14.42578125" bestFit="1" customWidth="1"/>
    <col min="3604" max="3604" width="10.85546875" bestFit="1" customWidth="1"/>
    <col min="3605" max="3605" width="10.42578125" customWidth="1"/>
    <col min="3606" max="3606" width="16.140625" bestFit="1" customWidth="1"/>
    <col min="3607" max="3607" width="12.7109375" customWidth="1"/>
    <col min="3841" max="3841" width="13.7109375" customWidth="1"/>
    <col min="3842" max="3842" width="35" customWidth="1"/>
    <col min="3843" max="3843" width="15.140625" customWidth="1"/>
    <col min="3844" max="3844" width="10.85546875" bestFit="1" customWidth="1"/>
    <col min="3845" max="3845" width="11.42578125" customWidth="1"/>
    <col min="3846" max="3846" width="16.140625" bestFit="1" customWidth="1"/>
    <col min="3847" max="3847" width="9.85546875" customWidth="1"/>
    <col min="3857" max="3857" width="13.7109375" customWidth="1"/>
    <col min="3858" max="3858" width="15.5703125" customWidth="1"/>
    <col min="3859" max="3859" width="14.42578125" bestFit="1" customWidth="1"/>
    <col min="3860" max="3860" width="10.85546875" bestFit="1" customWidth="1"/>
    <col min="3861" max="3861" width="10.42578125" customWidth="1"/>
    <col min="3862" max="3862" width="16.140625" bestFit="1" customWidth="1"/>
    <col min="3863" max="3863" width="12.7109375" customWidth="1"/>
    <col min="4097" max="4097" width="13.7109375" customWidth="1"/>
    <col min="4098" max="4098" width="35" customWidth="1"/>
    <col min="4099" max="4099" width="15.140625" customWidth="1"/>
    <col min="4100" max="4100" width="10.85546875" bestFit="1" customWidth="1"/>
    <col min="4101" max="4101" width="11.42578125" customWidth="1"/>
    <col min="4102" max="4102" width="16.140625" bestFit="1" customWidth="1"/>
    <col min="4103" max="4103" width="9.85546875" customWidth="1"/>
    <col min="4113" max="4113" width="13.7109375" customWidth="1"/>
    <col min="4114" max="4114" width="15.5703125" customWidth="1"/>
    <col min="4115" max="4115" width="14.42578125" bestFit="1" customWidth="1"/>
    <col min="4116" max="4116" width="10.85546875" bestFit="1" customWidth="1"/>
    <col min="4117" max="4117" width="10.42578125" customWidth="1"/>
    <col min="4118" max="4118" width="16.140625" bestFit="1" customWidth="1"/>
    <col min="4119" max="4119" width="12.7109375" customWidth="1"/>
    <col min="4353" max="4353" width="13.7109375" customWidth="1"/>
    <col min="4354" max="4354" width="35" customWidth="1"/>
    <col min="4355" max="4355" width="15.140625" customWidth="1"/>
    <col min="4356" max="4356" width="10.85546875" bestFit="1" customWidth="1"/>
    <col min="4357" max="4357" width="11.42578125" customWidth="1"/>
    <col min="4358" max="4358" width="16.140625" bestFit="1" customWidth="1"/>
    <col min="4359" max="4359" width="9.85546875" customWidth="1"/>
    <col min="4369" max="4369" width="13.7109375" customWidth="1"/>
    <col min="4370" max="4370" width="15.5703125" customWidth="1"/>
    <col min="4371" max="4371" width="14.42578125" bestFit="1" customWidth="1"/>
    <col min="4372" max="4372" width="10.85546875" bestFit="1" customWidth="1"/>
    <col min="4373" max="4373" width="10.42578125" customWidth="1"/>
    <col min="4374" max="4374" width="16.140625" bestFit="1" customWidth="1"/>
    <col min="4375" max="4375" width="12.7109375" customWidth="1"/>
    <col min="4609" max="4609" width="13.7109375" customWidth="1"/>
    <col min="4610" max="4610" width="35" customWidth="1"/>
    <col min="4611" max="4611" width="15.140625" customWidth="1"/>
    <col min="4612" max="4612" width="10.85546875" bestFit="1" customWidth="1"/>
    <col min="4613" max="4613" width="11.42578125" customWidth="1"/>
    <col min="4614" max="4614" width="16.140625" bestFit="1" customWidth="1"/>
    <col min="4615" max="4615" width="9.85546875" customWidth="1"/>
    <col min="4625" max="4625" width="13.7109375" customWidth="1"/>
    <col min="4626" max="4626" width="15.5703125" customWidth="1"/>
    <col min="4627" max="4627" width="14.42578125" bestFit="1" customWidth="1"/>
    <col min="4628" max="4628" width="10.85546875" bestFit="1" customWidth="1"/>
    <col min="4629" max="4629" width="10.42578125" customWidth="1"/>
    <col min="4630" max="4630" width="16.140625" bestFit="1" customWidth="1"/>
    <col min="4631" max="4631" width="12.7109375" customWidth="1"/>
    <col min="4865" max="4865" width="13.7109375" customWidth="1"/>
    <col min="4866" max="4866" width="35" customWidth="1"/>
    <col min="4867" max="4867" width="15.140625" customWidth="1"/>
    <col min="4868" max="4868" width="10.85546875" bestFit="1" customWidth="1"/>
    <col min="4869" max="4869" width="11.42578125" customWidth="1"/>
    <col min="4870" max="4870" width="16.140625" bestFit="1" customWidth="1"/>
    <col min="4871" max="4871" width="9.85546875" customWidth="1"/>
    <col min="4881" max="4881" width="13.7109375" customWidth="1"/>
    <col min="4882" max="4882" width="15.5703125" customWidth="1"/>
    <col min="4883" max="4883" width="14.42578125" bestFit="1" customWidth="1"/>
    <col min="4884" max="4884" width="10.85546875" bestFit="1" customWidth="1"/>
    <col min="4885" max="4885" width="10.42578125" customWidth="1"/>
    <col min="4886" max="4886" width="16.140625" bestFit="1" customWidth="1"/>
    <col min="4887" max="4887" width="12.7109375" customWidth="1"/>
    <col min="5121" max="5121" width="13.7109375" customWidth="1"/>
    <col min="5122" max="5122" width="35" customWidth="1"/>
    <col min="5123" max="5123" width="15.140625" customWidth="1"/>
    <col min="5124" max="5124" width="10.85546875" bestFit="1" customWidth="1"/>
    <col min="5125" max="5125" width="11.42578125" customWidth="1"/>
    <col min="5126" max="5126" width="16.140625" bestFit="1" customWidth="1"/>
    <col min="5127" max="5127" width="9.85546875" customWidth="1"/>
    <col min="5137" max="5137" width="13.7109375" customWidth="1"/>
    <col min="5138" max="5138" width="15.5703125" customWidth="1"/>
    <col min="5139" max="5139" width="14.42578125" bestFit="1" customWidth="1"/>
    <col min="5140" max="5140" width="10.85546875" bestFit="1" customWidth="1"/>
    <col min="5141" max="5141" width="10.42578125" customWidth="1"/>
    <col min="5142" max="5142" width="16.140625" bestFit="1" customWidth="1"/>
    <col min="5143" max="5143" width="12.7109375" customWidth="1"/>
    <col min="5377" max="5377" width="13.7109375" customWidth="1"/>
    <col min="5378" max="5378" width="35" customWidth="1"/>
    <col min="5379" max="5379" width="15.140625" customWidth="1"/>
    <col min="5380" max="5380" width="10.85546875" bestFit="1" customWidth="1"/>
    <col min="5381" max="5381" width="11.42578125" customWidth="1"/>
    <col min="5382" max="5382" width="16.140625" bestFit="1" customWidth="1"/>
    <col min="5383" max="5383" width="9.85546875" customWidth="1"/>
    <col min="5393" max="5393" width="13.7109375" customWidth="1"/>
    <col min="5394" max="5394" width="15.5703125" customWidth="1"/>
    <col min="5395" max="5395" width="14.42578125" bestFit="1" customWidth="1"/>
    <col min="5396" max="5396" width="10.85546875" bestFit="1" customWidth="1"/>
    <col min="5397" max="5397" width="10.42578125" customWidth="1"/>
    <col min="5398" max="5398" width="16.140625" bestFit="1" customWidth="1"/>
    <col min="5399" max="5399" width="12.7109375" customWidth="1"/>
    <col min="5633" max="5633" width="13.7109375" customWidth="1"/>
    <col min="5634" max="5634" width="35" customWidth="1"/>
    <col min="5635" max="5635" width="15.140625" customWidth="1"/>
    <col min="5636" max="5636" width="10.85546875" bestFit="1" customWidth="1"/>
    <col min="5637" max="5637" width="11.42578125" customWidth="1"/>
    <col min="5638" max="5638" width="16.140625" bestFit="1" customWidth="1"/>
    <col min="5639" max="5639" width="9.85546875" customWidth="1"/>
    <col min="5649" max="5649" width="13.7109375" customWidth="1"/>
    <col min="5650" max="5650" width="15.5703125" customWidth="1"/>
    <col min="5651" max="5651" width="14.42578125" bestFit="1" customWidth="1"/>
    <col min="5652" max="5652" width="10.85546875" bestFit="1" customWidth="1"/>
    <col min="5653" max="5653" width="10.42578125" customWidth="1"/>
    <col min="5654" max="5654" width="16.140625" bestFit="1" customWidth="1"/>
    <col min="5655" max="5655" width="12.7109375" customWidth="1"/>
    <col min="5889" max="5889" width="13.7109375" customWidth="1"/>
    <col min="5890" max="5890" width="35" customWidth="1"/>
    <col min="5891" max="5891" width="15.140625" customWidth="1"/>
    <col min="5892" max="5892" width="10.85546875" bestFit="1" customWidth="1"/>
    <col min="5893" max="5893" width="11.42578125" customWidth="1"/>
    <col min="5894" max="5894" width="16.140625" bestFit="1" customWidth="1"/>
    <col min="5895" max="5895" width="9.85546875" customWidth="1"/>
    <col min="5905" max="5905" width="13.7109375" customWidth="1"/>
    <col min="5906" max="5906" width="15.5703125" customWidth="1"/>
    <col min="5907" max="5907" width="14.42578125" bestFit="1" customWidth="1"/>
    <col min="5908" max="5908" width="10.85546875" bestFit="1" customWidth="1"/>
    <col min="5909" max="5909" width="10.42578125" customWidth="1"/>
    <col min="5910" max="5910" width="16.140625" bestFit="1" customWidth="1"/>
    <col min="5911" max="5911" width="12.7109375" customWidth="1"/>
    <col min="6145" max="6145" width="13.7109375" customWidth="1"/>
    <col min="6146" max="6146" width="35" customWidth="1"/>
    <col min="6147" max="6147" width="15.140625" customWidth="1"/>
    <col min="6148" max="6148" width="10.85546875" bestFit="1" customWidth="1"/>
    <col min="6149" max="6149" width="11.42578125" customWidth="1"/>
    <col min="6150" max="6150" width="16.140625" bestFit="1" customWidth="1"/>
    <col min="6151" max="6151" width="9.85546875" customWidth="1"/>
    <col min="6161" max="6161" width="13.7109375" customWidth="1"/>
    <col min="6162" max="6162" width="15.5703125" customWidth="1"/>
    <col min="6163" max="6163" width="14.42578125" bestFit="1" customWidth="1"/>
    <col min="6164" max="6164" width="10.85546875" bestFit="1" customWidth="1"/>
    <col min="6165" max="6165" width="10.42578125" customWidth="1"/>
    <col min="6166" max="6166" width="16.140625" bestFit="1" customWidth="1"/>
    <col min="6167" max="6167" width="12.7109375" customWidth="1"/>
    <col min="6401" max="6401" width="13.7109375" customWidth="1"/>
    <col min="6402" max="6402" width="35" customWidth="1"/>
    <col min="6403" max="6403" width="15.140625" customWidth="1"/>
    <col min="6404" max="6404" width="10.85546875" bestFit="1" customWidth="1"/>
    <col min="6405" max="6405" width="11.42578125" customWidth="1"/>
    <col min="6406" max="6406" width="16.140625" bestFit="1" customWidth="1"/>
    <col min="6407" max="6407" width="9.85546875" customWidth="1"/>
    <col min="6417" max="6417" width="13.7109375" customWidth="1"/>
    <col min="6418" max="6418" width="15.5703125" customWidth="1"/>
    <col min="6419" max="6419" width="14.42578125" bestFit="1" customWidth="1"/>
    <col min="6420" max="6420" width="10.85546875" bestFit="1" customWidth="1"/>
    <col min="6421" max="6421" width="10.42578125" customWidth="1"/>
    <col min="6422" max="6422" width="16.140625" bestFit="1" customWidth="1"/>
    <col min="6423" max="6423" width="12.7109375" customWidth="1"/>
    <col min="6657" max="6657" width="13.7109375" customWidth="1"/>
    <col min="6658" max="6658" width="35" customWidth="1"/>
    <col min="6659" max="6659" width="15.140625" customWidth="1"/>
    <col min="6660" max="6660" width="10.85546875" bestFit="1" customWidth="1"/>
    <col min="6661" max="6661" width="11.42578125" customWidth="1"/>
    <col min="6662" max="6662" width="16.140625" bestFit="1" customWidth="1"/>
    <col min="6663" max="6663" width="9.85546875" customWidth="1"/>
    <col min="6673" max="6673" width="13.7109375" customWidth="1"/>
    <col min="6674" max="6674" width="15.5703125" customWidth="1"/>
    <col min="6675" max="6675" width="14.42578125" bestFit="1" customWidth="1"/>
    <col min="6676" max="6676" width="10.85546875" bestFit="1" customWidth="1"/>
    <col min="6677" max="6677" width="10.42578125" customWidth="1"/>
    <col min="6678" max="6678" width="16.140625" bestFit="1" customWidth="1"/>
    <col min="6679" max="6679" width="12.7109375" customWidth="1"/>
    <col min="6913" max="6913" width="13.7109375" customWidth="1"/>
    <col min="6914" max="6914" width="35" customWidth="1"/>
    <col min="6915" max="6915" width="15.140625" customWidth="1"/>
    <col min="6916" max="6916" width="10.85546875" bestFit="1" customWidth="1"/>
    <col min="6917" max="6917" width="11.42578125" customWidth="1"/>
    <col min="6918" max="6918" width="16.140625" bestFit="1" customWidth="1"/>
    <col min="6919" max="6919" width="9.85546875" customWidth="1"/>
    <col min="6929" max="6929" width="13.7109375" customWidth="1"/>
    <col min="6930" max="6930" width="15.5703125" customWidth="1"/>
    <col min="6931" max="6931" width="14.42578125" bestFit="1" customWidth="1"/>
    <col min="6932" max="6932" width="10.85546875" bestFit="1" customWidth="1"/>
    <col min="6933" max="6933" width="10.42578125" customWidth="1"/>
    <col min="6934" max="6934" width="16.140625" bestFit="1" customWidth="1"/>
    <col min="6935" max="6935" width="12.7109375" customWidth="1"/>
    <col min="7169" max="7169" width="13.7109375" customWidth="1"/>
    <col min="7170" max="7170" width="35" customWidth="1"/>
    <col min="7171" max="7171" width="15.140625" customWidth="1"/>
    <col min="7172" max="7172" width="10.85546875" bestFit="1" customWidth="1"/>
    <col min="7173" max="7173" width="11.42578125" customWidth="1"/>
    <col min="7174" max="7174" width="16.140625" bestFit="1" customWidth="1"/>
    <col min="7175" max="7175" width="9.85546875" customWidth="1"/>
    <col min="7185" max="7185" width="13.7109375" customWidth="1"/>
    <col min="7186" max="7186" width="15.5703125" customWidth="1"/>
    <col min="7187" max="7187" width="14.42578125" bestFit="1" customWidth="1"/>
    <col min="7188" max="7188" width="10.85546875" bestFit="1" customWidth="1"/>
    <col min="7189" max="7189" width="10.42578125" customWidth="1"/>
    <col min="7190" max="7190" width="16.140625" bestFit="1" customWidth="1"/>
    <col min="7191" max="7191" width="12.7109375" customWidth="1"/>
    <col min="7425" max="7425" width="13.7109375" customWidth="1"/>
    <col min="7426" max="7426" width="35" customWidth="1"/>
    <col min="7427" max="7427" width="15.140625" customWidth="1"/>
    <col min="7428" max="7428" width="10.85546875" bestFit="1" customWidth="1"/>
    <col min="7429" max="7429" width="11.42578125" customWidth="1"/>
    <col min="7430" max="7430" width="16.140625" bestFit="1" customWidth="1"/>
    <col min="7431" max="7431" width="9.85546875" customWidth="1"/>
    <col min="7441" max="7441" width="13.7109375" customWidth="1"/>
    <col min="7442" max="7442" width="15.5703125" customWidth="1"/>
    <col min="7443" max="7443" width="14.42578125" bestFit="1" customWidth="1"/>
    <col min="7444" max="7444" width="10.85546875" bestFit="1" customWidth="1"/>
    <col min="7445" max="7445" width="10.42578125" customWidth="1"/>
    <col min="7446" max="7446" width="16.140625" bestFit="1" customWidth="1"/>
    <col min="7447" max="7447" width="12.7109375" customWidth="1"/>
    <col min="7681" max="7681" width="13.7109375" customWidth="1"/>
    <col min="7682" max="7682" width="35" customWidth="1"/>
    <col min="7683" max="7683" width="15.140625" customWidth="1"/>
    <col min="7684" max="7684" width="10.85546875" bestFit="1" customWidth="1"/>
    <col min="7685" max="7685" width="11.42578125" customWidth="1"/>
    <col min="7686" max="7686" width="16.140625" bestFit="1" customWidth="1"/>
    <col min="7687" max="7687" width="9.85546875" customWidth="1"/>
    <col min="7697" max="7697" width="13.7109375" customWidth="1"/>
    <col min="7698" max="7698" width="15.5703125" customWidth="1"/>
    <col min="7699" max="7699" width="14.42578125" bestFit="1" customWidth="1"/>
    <col min="7700" max="7700" width="10.85546875" bestFit="1" customWidth="1"/>
    <col min="7701" max="7701" width="10.42578125" customWidth="1"/>
    <col min="7702" max="7702" width="16.140625" bestFit="1" customWidth="1"/>
    <col min="7703" max="7703" width="12.7109375" customWidth="1"/>
    <col min="7937" max="7937" width="13.7109375" customWidth="1"/>
    <col min="7938" max="7938" width="35" customWidth="1"/>
    <col min="7939" max="7939" width="15.140625" customWidth="1"/>
    <col min="7940" max="7940" width="10.85546875" bestFit="1" customWidth="1"/>
    <col min="7941" max="7941" width="11.42578125" customWidth="1"/>
    <col min="7942" max="7942" width="16.140625" bestFit="1" customWidth="1"/>
    <col min="7943" max="7943" width="9.85546875" customWidth="1"/>
    <col min="7953" max="7953" width="13.7109375" customWidth="1"/>
    <col min="7954" max="7954" width="15.5703125" customWidth="1"/>
    <col min="7955" max="7955" width="14.42578125" bestFit="1" customWidth="1"/>
    <col min="7956" max="7956" width="10.85546875" bestFit="1" customWidth="1"/>
    <col min="7957" max="7957" width="10.42578125" customWidth="1"/>
    <col min="7958" max="7958" width="16.140625" bestFit="1" customWidth="1"/>
    <col min="7959" max="7959" width="12.7109375" customWidth="1"/>
    <col min="8193" max="8193" width="13.7109375" customWidth="1"/>
    <col min="8194" max="8194" width="35" customWidth="1"/>
    <col min="8195" max="8195" width="15.140625" customWidth="1"/>
    <col min="8196" max="8196" width="10.85546875" bestFit="1" customWidth="1"/>
    <col min="8197" max="8197" width="11.42578125" customWidth="1"/>
    <col min="8198" max="8198" width="16.140625" bestFit="1" customWidth="1"/>
    <col min="8199" max="8199" width="9.85546875" customWidth="1"/>
    <col min="8209" max="8209" width="13.7109375" customWidth="1"/>
    <col min="8210" max="8210" width="15.5703125" customWidth="1"/>
    <col min="8211" max="8211" width="14.42578125" bestFit="1" customWidth="1"/>
    <col min="8212" max="8212" width="10.85546875" bestFit="1" customWidth="1"/>
    <col min="8213" max="8213" width="10.42578125" customWidth="1"/>
    <col min="8214" max="8214" width="16.140625" bestFit="1" customWidth="1"/>
    <col min="8215" max="8215" width="12.7109375" customWidth="1"/>
    <col min="8449" max="8449" width="13.7109375" customWidth="1"/>
    <col min="8450" max="8450" width="35" customWidth="1"/>
    <col min="8451" max="8451" width="15.140625" customWidth="1"/>
    <col min="8452" max="8452" width="10.85546875" bestFit="1" customWidth="1"/>
    <col min="8453" max="8453" width="11.42578125" customWidth="1"/>
    <col min="8454" max="8454" width="16.140625" bestFit="1" customWidth="1"/>
    <col min="8455" max="8455" width="9.85546875" customWidth="1"/>
    <col min="8465" max="8465" width="13.7109375" customWidth="1"/>
    <col min="8466" max="8466" width="15.5703125" customWidth="1"/>
    <col min="8467" max="8467" width="14.42578125" bestFit="1" customWidth="1"/>
    <col min="8468" max="8468" width="10.85546875" bestFit="1" customWidth="1"/>
    <col min="8469" max="8469" width="10.42578125" customWidth="1"/>
    <col min="8470" max="8470" width="16.140625" bestFit="1" customWidth="1"/>
    <col min="8471" max="8471" width="12.7109375" customWidth="1"/>
    <col min="8705" max="8705" width="13.7109375" customWidth="1"/>
    <col min="8706" max="8706" width="35" customWidth="1"/>
    <col min="8707" max="8707" width="15.140625" customWidth="1"/>
    <col min="8708" max="8708" width="10.85546875" bestFit="1" customWidth="1"/>
    <col min="8709" max="8709" width="11.42578125" customWidth="1"/>
    <col min="8710" max="8710" width="16.140625" bestFit="1" customWidth="1"/>
    <col min="8711" max="8711" width="9.85546875" customWidth="1"/>
    <col min="8721" max="8721" width="13.7109375" customWidth="1"/>
    <col min="8722" max="8722" width="15.5703125" customWidth="1"/>
    <col min="8723" max="8723" width="14.42578125" bestFit="1" customWidth="1"/>
    <col min="8724" max="8724" width="10.85546875" bestFit="1" customWidth="1"/>
    <col min="8725" max="8725" width="10.42578125" customWidth="1"/>
    <col min="8726" max="8726" width="16.140625" bestFit="1" customWidth="1"/>
    <col min="8727" max="8727" width="12.7109375" customWidth="1"/>
    <col min="8961" max="8961" width="13.7109375" customWidth="1"/>
    <col min="8962" max="8962" width="35" customWidth="1"/>
    <col min="8963" max="8963" width="15.140625" customWidth="1"/>
    <col min="8964" max="8964" width="10.85546875" bestFit="1" customWidth="1"/>
    <col min="8965" max="8965" width="11.42578125" customWidth="1"/>
    <col min="8966" max="8966" width="16.140625" bestFit="1" customWidth="1"/>
    <col min="8967" max="8967" width="9.85546875" customWidth="1"/>
    <col min="8977" max="8977" width="13.7109375" customWidth="1"/>
    <col min="8978" max="8978" width="15.5703125" customWidth="1"/>
    <col min="8979" max="8979" width="14.42578125" bestFit="1" customWidth="1"/>
    <col min="8980" max="8980" width="10.85546875" bestFit="1" customWidth="1"/>
    <col min="8981" max="8981" width="10.42578125" customWidth="1"/>
    <col min="8982" max="8982" width="16.140625" bestFit="1" customWidth="1"/>
    <col min="8983" max="8983" width="12.7109375" customWidth="1"/>
    <col min="9217" max="9217" width="13.7109375" customWidth="1"/>
    <col min="9218" max="9218" width="35" customWidth="1"/>
    <col min="9219" max="9219" width="15.140625" customWidth="1"/>
    <col min="9220" max="9220" width="10.85546875" bestFit="1" customWidth="1"/>
    <col min="9221" max="9221" width="11.42578125" customWidth="1"/>
    <col min="9222" max="9222" width="16.140625" bestFit="1" customWidth="1"/>
    <col min="9223" max="9223" width="9.85546875" customWidth="1"/>
    <col min="9233" max="9233" width="13.7109375" customWidth="1"/>
    <col min="9234" max="9234" width="15.5703125" customWidth="1"/>
    <col min="9235" max="9235" width="14.42578125" bestFit="1" customWidth="1"/>
    <col min="9236" max="9236" width="10.85546875" bestFit="1" customWidth="1"/>
    <col min="9237" max="9237" width="10.42578125" customWidth="1"/>
    <col min="9238" max="9238" width="16.140625" bestFit="1" customWidth="1"/>
    <col min="9239" max="9239" width="12.7109375" customWidth="1"/>
    <col min="9473" max="9473" width="13.7109375" customWidth="1"/>
    <col min="9474" max="9474" width="35" customWidth="1"/>
    <col min="9475" max="9475" width="15.140625" customWidth="1"/>
    <col min="9476" max="9476" width="10.85546875" bestFit="1" customWidth="1"/>
    <col min="9477" max="9477" width="11.42578125" customWidth="1"/>
    <col min="9478" max="9478" width="16.140625" bestFit="1" customWidth="1"/>
    <col min="9479" max="9479" width="9.85546875" customWidth="1"/>
    <col min="9489" max="9489" width="13.7109375" customWidth="1"/>
    <col min="9490" max="9490" width="15.5703125" customWidth="1"/>
    <col min="9491" max="9491" width="14.42578125" bestFit="1" customWidth="1"/>
    <col min="9492" max="9492" width="10.85546875" bestFit="1" customWidth="1"/>
    <col min="9493" max="9493" width="10.42578125" customWidth="1"/>
    <col min="9494" max="9494" width="16.140625" bestFit="1" customWidth="1"/>
    <col min="9495" max="9495" width="12.7109375" customWidth="1"/>
    <col min="9729" max="9729" width="13.7109375" customWidth="1"/>
    <col min="9730" max="9730" width="35" customWidth="1"/>
    <col min="9731" max="9731" width="15.140625" customWidth="1"/>
    <col min="9732" max="9732" width="10.85546875" bestFit="1" customWidth="1"/>
    <col min="9733" max="9733" width="11.42578125" customWidth="1"/>
    <col min="9734" max="9734" width="16.140625" bestFit="1" customWidth="1"/>
    <col min="9735" max="9735" width="9.85546875" customWidth="1"/>
    <col min="9745" max="9745" width="13.7109375" customWidth="1"/>
    <col min="9746" max="9746" width="15.5703125" customWidth="1"/>
    <col min="9747" max="9747" width="14.42578125" bestFit="1" customWidth="1"/>
    <col min="9748" max="9748" width="10.85546875" bestFit="1" customWidth="1"/>
    <col min="9749" max="9749" width="10.42578125" customWidth="1"/>
    <col min="9750" max="9750" width="16.140625" bestFit="1" customWidth="1"/>
    <col min="9751" max="9751" width="12.7109375" customWidth="1"/>
    <col min="9985" max="9985" width="13.7109375" customWidth="1"/>
    <col min="9986" max="9986" width="35" customWidth="1"/>
    <col min="9987" max="9987" width="15.140625" customWidth="1"/>
    <col min="9988" max="9988" width="10.85546875" bestFit="1" customWidth="1"/>
    <col min="9989" max="9989" width="11.42578125" customWidth="1"/>
    <col min="9990" max="9990" width="16.140625" bestFit="1" customWidth="1"/>
    <col min="9991" max="9991" width="9.85546875" customWidth="1"/>
    <col min="10001" max="10001" width="13.7109375" customWidth="1"/>
    <col min="10002" max="10002" width="15.5703125" customWidth="1"/>
    <col min="10003" max="10003" width="14.42578125" bestFit="1" customWidth="1"/>
    <col min="10004" max="10004" width="10.85546875" bestFit="1" customWidth="1"/>
    <col min="10005" max="10005" width="10.42578125" customWidth="1"/>
    <col min="10006" max="10006" width="16.140625" bestFit="1" customWidth="1"/>
    <col min="10007" max="10007" width="12.7109375" customWidth="1"/>
    <col min="10241" max="10241" width="13.7109375" customWidth="1"/>
    <col min="10242" max="10242" width="35" customWidth="1"/>
    <col min="10243" max="10243" width="15.140625" customWidth="1"/>
    <col min="10244" max="10244" width="10.85546875" bestFit="1" customWidth="1"/>
    <col min="10245" max="10245" width="11.42578125" customWidth="1"/>
    <col min="10246" max="10246" width="16.140625" bestFit="1" customWidth="1"/>
    <col min="10247" max="10247" width="9.85546875" customWidth="1"/>
    <col min="10257" max="10257" width="13.7109375" customWidth="1"/>
    <col min="10258" max="10258" width="15.5703125" customWidth="1"/>
    <col min="10259" max="10259" width="14.42578125" bestFit="1" customWidth="1"/>
    <col min="10260" max="10260" width="10.85546875" bestFit="1" customWidth="1"/>
    <col min="10261" max="10261" width="10.42578125" customWidth="1"/>
    <col min="10262" max="10262" width="16.140625" bestFit="1" customWidth="1"/>
    <col min="10263" max="10263" width="12.7109375" customWidth="1"/>
    <col min="10497" max="10497" width="13.7109375" customWidth="1"/>
    <col min="10498" max="10498" width="35" customWidth="1"/>
    <col min="10499" max="10499" width="15.140625" customWidth="1"/>
    <col min="10500" max="10500" width="10.85546875" bestFit="1" customWidth="1"/>
    <col min="10501" max="10501" width="11.42578125" customWidth="1"/>
    <col min="10502" max="10502" width="16.140625" bestFit="1" customWidth="1"/>
    <col min="10503" max="10503" width="9.85546875" customWidth="1"/>
    <col min="10513" max="10513" width="13.7109375" customWidth="1"/>
    <col min="10514" max="10514" width="15.5703125" customWidth="1"/>
    <col min="10515" max="10515" width="14.42578125" bestFit="1" customWidth="1"/>
    <col min="10516" max="10516" width="10.85546875" bestFit="1" customWidth="1"/>
    <col min="10517" max="10517" width="10.42578125" customWidth="1"/>
    <col min="10518" max="10518" width="16.140625" bestFit="1" customWidth="1"/>
    <col min="10519" max="10519" width="12.7109375" customWidth="1"/>
    <col min="10753" max="10753" width="13.7109375" customWidth="1"/>
    <col min="10754" max="10754" width="35" customWidth="1"/>
    <col min="10755" max="10755" width="15.140625" customWidth="1"/>
    <col min="10756" max="10756" width="10.85546875" bestFit="1" customWidth="1"/>
    <col min="10757" max="10757" width="11.42578125" customWidth="1"/>
    <col min="10758" max="10758" width="16.140625" bestFit="1" customWidth="1"/>
    <col min="10759" max="10759" width="9.85546875" customWidth="1"/>
    <col min="10769" max="10769" width="13.7109375" customWidth="1"/>
    <col min="10770" max="10770" width="15.5703125" customWidth="1"/>
    <col min="10771" max="10771" width="14.42578125" bestFit="1" customWidth="1"/>
    <col min="10772" max="10772" width="10.85546875" bestFit="1" customWidth="1"/>
    <col min="10773" max="10773" width="10.42578125" customWidth="1"/>
    <col min="10774" max="10774" width="16.140625" bestFit="1" customWidth="1"/>
    <col min="10775" max="10775" width="12.7109375" customWidth="1"/>
    <col min="11009" max="11009" width="13.7109375" customWidth="1"/>
    <col min="11010" max="11010" width="35" customWidth="1"/>
    <col min="11011" max="11011" width="15.140625" customWidth="1"/>
    <col min="11012" max="11012" width="10.85546875" bestFit="1" customWidth="1"/>
    <col min="11013" max="11013" width="11.42578125" customWidth="1"/>
    <col min="11014" max="11014" width="16.140625" bestFit="1" customWidth="1"/>
    <col min="11015" max="11015" width="9.85546875" customWidth="1"/>
    <col min="11025" max="11025" width="13.7109375" customWidth="1"/>
    <col min="11026" max="11026" width="15.5703125" customWidth="1"/>
    <col min="11027" max="11027" width="14.42578125" bestFit="1" customWidth="1"/>
    <col min="11028" max="11028" width="10.85546875" bestFit="1" customWidth="1"/>
    <col min="11029" max="11029" width="10.42578125" customWidth="1"/>
    <col min="11030" max="11030" width="16.140625" bestFit="1" customWidth="1"/>
    <col min="11031" max="11031" width="12.7109375" customWidth="1"/>
    <col min="11265" max="11265" width="13.7109375" customWidth="1"/>
    <col min="11266" max="11266" width="35" customWidth="1"/>
    <col min="11267" max="11267" width="15.140625" customWidth="1"/>
    <col min="11268" max="11268" width="10.85546875" bestFit="1" customWidth="1"/>
    <col min="11269" max="11269" width="11.42578125" customWidth="1"/>
    <col min="11270" max="11270" width="16.140625" bestFit="1" customWidth="1"/>
    <col min="11271" max="11271" width="9.85546875" customWidth="1"/>
    <col min="11281" max="11281" width="13.7109375" customWidth="1"/>
    <col min="11282" max="11282" width="15.5703125" customWidth="1"/>
    <col min="11283" max="11283" width="14.42578125" bestFit="1" customWidth="1"/>
    <col min="11284" max="11284" width="10.85546875" bestFit="1" customWidth="1"/>
    <col min="11285" max="11285" width="10.42578125" customWidth="1"/>
    <col min="11286" max="11286" width="16.140625" bestFit="1" customWidth="1"/>
    <col min="11287" max="11287" width="12.7109375" customWidth="1"/>
    <col min="11521" max="11521" width="13.7109375" customWidth="1"/>
    <col min="11522" max="11522" width="35" customWidth="1"/>
    <col min="11523" max="11523" width="15.140625" customWidth="1"/>
    <col min="11524" max="11524" width="10.85546875" bestFit="1" customWidth="1"/>
    <col min="11525" max="11525" width="11.42578125" customWidth="1"/>
    <col min="11526" max="11526" width="16.140625" bestFit="1" customWidth="1"/>
    <col min="11527" max="11527" width="9.85546875" customWidth="1"/>
    <col min="11537" max="11537" width="13.7109375" customWidth="1"/>
    <col min="11538" max="11538" width="15.5703125" customWidth="1"/>
    <col min="11539" max="11539" width="14.42578125" bestFit="1" customWidth="1"/>
    <col min="11540" max="11540" width="10.85546875" bestFit="1" customWidth="1"/>
    <col min="11541" max="11541" width="10.42578125" customWidth="1"/>
    <col min="11542" max="11542" width="16.140625" bestFit="1" customWidth="1"/>
    <col min="11543" max="11543" width="12.7109375" customWidth="1"/>
    <col min="11777" max="11777" width="13.7109375" customWidth="1"/>
    <col min="11778" max="11778" width="35" customWidth="1"/>
    <col min="11779" max="11779" width="15.140625" customWidth="1"/>
    <col min="11780" max="11780" width="10.85546875" bestFit="1" customWidth="1"/>
    <col min="11781" max="11781" width="11.42578125" customWidth="1"/>
    <col min="11782" max="11782" width="16.140625" bestFit="1" customWidth="1"/>
    <col min="11783" max="11783" width="9.85546875" customWidth="1"/>
    <col min="11793" max="11793" width="13.7109375" customWidth="1"/>
    <col min="11794" max="11794" width="15.5703125" customWidth="1"/>
    <col min="11795" max="11795" width="14.42578125" bestFit="1" customWidth="1"/>
    <col min="11796" max="11796" width="10.85546875" bestFit="1" customWidth="1"/>
    <col min="11797" max="11797" width="10.42578125" customWidth="1"/>
    <col min="11798" max="11798" width="16.140625" bestFit="1" customWidth="1"/>
    <col min="11799" max="11799" width="12.7109375" customWidth="1"/>
    <col min="12033" max="12033" width="13.7109375" customWidth="1"/>
    <col min="12034" max="12034" width="35" customWidth="1"/>
    <col min="12035" max="12035" width="15.140625" customWidth="1"/>
    <col min="12036" max="12036" width="10.85546875" bestFit="1" customWidth="1"/>
    <col min="12037" max="12037" width="11.42578125" customWidth="1"/>
    <col min="12038" max="12038" width="16.140625" bestFit="1" customWidth="1"/>
    <col min="12039" max="12039" width="9.85546875" customWidth="1"/>
    <col min="12049" max="12049" width="13.7109375" customWidth="1"/>
    <col min="12050" max="12050" width="15.5703125" customWidth="1"/>
    <col min="12051" max="12051" width="14.42578125" bestFit="1" customWidth="1"/>
    <col min="12052" max="12052" width="10.85546875" bestFit="1" customWidth="1"/>
    <col min="12053" max="12053" width="10.42578125" customWidth="1"/>
    <col min="12054" max="12054" width="16.140625" bestFit="1" customWidth="1"/>
    <col min="12055" max="12055" width="12.7109375" customWidth="1"/>
    <col min="12289" max="12289" width="13.7109375" customWidth="1"/>
    <col min="12290" max="12290" width="35" customWidth="1"/>
    <col min="12291" max="12291" width="15.140625" customWidth="1"/>
    <col min="12292" max="12292" width="10.85546875" bestFit="1" customWidth="1"/>
    <col min="12293" max="12293" width="11.42578125" customWidth="1"/>
    <col min="12294" max="12294" width="16.140625" bestFit="1" customWidth="1"/>
    <col min="12295" max="12295" width="9.85546875" customWidth="1"/>
    <col min="12305" max="12305" width="13.7109375" customWidth="1"/>
    <col min="12306" max="12306" width="15.5703125" customWidth="1"/>
    <col min="12307" max="12307" width="14.42578125" bestFit="1" customWidth="1"/>
    <col min="12308" max="12308" width="10.85546875" bestFit="1" customWidth="1"/>
    <col min="12309" max="12309" width="10.42578125" customWidth="1"/>
    <col min="12310" max="12310" width="16.140625" bestFit="1" customWidth="1"/>
    <col min="12311" max="12311" width="12.7109375" customWidth="1"/>
    <col min="12545" max="12545" width="13.7109375" customWidth="1"/>
    <col min="12546" max="12546" width="35" customWidth="1"/>
    <col min="12547" max="12547" width="15.140625" customWidth="1"/>
    <col min="12548" max="12548" width="10.85546875" bestFit="1" customWidth="1"/>
    <col min="12549" max="12549" width="11.42578125" customWidth="1"/>
    <col min="12550" max="12550" width="16.140625" bestFit="1" customWidth="1"/>
    <col min="12551" max="12551" width="9.85546875" customWidth="1"/>
    <col min="12561" max="12561" width="13.7109375" customWidth="1"/>
    <col min="12562" max="12562" width="15.5703125" customWidth="1"/>
    <col min="12563" max="12563" width="14.42578125" bestFit="1" customWidth="1"/>
    <col min="12564" max="12564" width="10.85546875" bestFit="1" customWidth="1"/>
    <col min="12565" max="12565" width="10.42578125" customWidth="1"/>
    <col min="12566" max="12566" width="16.140625" bestFit="1" customWidth="1"/>
    <col min="12567" max="12567" width="12.7109375" customWidth="1"/>
    <col min="12801" max="12801" width="13.7109375" customWidth="1"/>
    <col min="12802" max="12802" width="35" customWidth="1"/>
    <col min="12803" max="12803" width="15.140625" customWidth="1"/>
    <col min="12804" max="12804" width="10.85546875" bestFit="1" customWidth="1"/>
    <col min="12805" max="12805" width="11.42578125" customWidth="1"/>
    <col min="12806" max="12806" width="16.140625" bestFit="1" customWidth="1"/>
    <col min="12807" max="12807" width="9.85546875" customWidth="1"/>
    <col min="12817" max="12817" width="13.7109375" customWidth="1"/>
    <col min="12818" max="12818" width="15.5703125" customWidth="1"/>
    <col min="12819" max="12819" width="14.42578125" bestFit="1" customWidth="1"/>
    <col min="12820" max="12820" width="10.85546875" bestFit="1" customWidth="1"/>
    <col min="12821" max="12821" width="10.42578125" customWidth="1"/>
    <col min="12822" max="12822" width="16.140625" bestFit="1" customWidth="1"/>
    <col min="12823" max="12823" width="12.7109375" customWidth="1"/>
    <col min="13057" max="13057" width="13.7109375" customWidth="1"/>
    <col min="13058" max="13058" width="35" customWidth="1"/>
    <col min="13059" max="13059" width="15.140625" customWidth="1"/>
    <col min="13060" max="13060" width="10.85546875" bestFit="1" customWidth="1"/>
    <col min="13061" max="13061" width="11.42578125" customWidth="1"/>
    <col min="13062" max="13062" width="16.140625" bestFit="1" customWidth="1"/>
    <col min="13063" max="13063" width="9.85546875" customWidth="1"/>
    <col min="13073" max="13073" width="13.7109375" customWidth="1"/>
    <col min="13074" max="13074" width="15.5703125" customWidth="1"/>
    <col min="13075" max="13075" width="14.42578125" bestFit="1" customWidth="1"/>
    <col min="13076" max="13076" width="10.85546875" bestFit="1" customWidth="1"/>
    <col min="13077" max="13077" width="10.42578125" customWidth="1"/>
    <col min="13078" max="13078" width="16.140625" bestFit="1" customWidth="1"/>
    <col min="13079" max="13079" width="12.7109375" customWidth="1"/>
    <col min="13313" max="13313" width="13.7109375" customWidth="1"/>
    <col min="13314" max="13314" width="35" customWidth="1"/>
    <col min="13315" max="13315" width="15.140625" customWidth="1"/>
    <col min="13316" max="13316" width="10.85546875" bestFit="1" customWidth="1"/>
    <col min="13317" max="13317" width="11.42578125" customWidth="1"/>
    <col min="13318" max="13318" width="16.140625" bestFit="1" customWidth="1"/>
    <col min="13319" max="13319" width="9.85546875" customWidth="1"/>
    <col min="13329" max="13329" width="13.7109375" customWidth="1"/>
    <col min="13330" max="13330" width="15.5703125" customWidth="1"/>
    <col min="13331" max="13331" width="14.42578125" bestFit="1" customWidth="1"/>
    <col min="13332" max="13332" width="10.85546875" bestFit="1" customWidth="1"/>
    <col min="13333" max="13333" width="10.42578125" customWidth="1"/>
    <col min="13334" max="13334" width="16.140625" bestFit="1" customWidth="1"/>
    <col min="13335" max="13335" width="12.7109375" customWidth="1"/>
    <col min="13569" max="13569" width="13.7109375" customWidth="1"/>
    <col min="13570" max="13570" width="35" customWidth="1"/>
    <col min="13571" max="13571" width="15.140625" customWidth="1"/>
    <col min="13572" max="13572" width="10.85546875" bestFit="1" customWidth="1"/>
    <col min="13573" max="13573" width="11.42578125" customWidth="1"/>
    <col min="13574" max="13574" width="16.140625" bestFit="1" customWidth="1"/>
    <col min="13575" max="13575" width="9.85546875" customWidth="1"/>
    <col min="13585" max="13585" width="13.7109375" customWidth="1"/>
    <col min="13586" max="13586" width="15.5703125" customWidth="1"/>
    <col min="13587" max="13587" width="14.42578125" bestFit="1" customWidth="1"/>
    <col min="13588" max="13588" width="10.85546875" bestFit="1" customWidth="1"/>
    <col min="13589" max="13589" width="10.42578125" customWidth="1"/>
    <col min="13590" max="13590" width="16.140625" bestFit="1" customWidth="1"/>
    <col min="13591" max="13591" width="12.7109375" customWidth="1"/>
    <col min="13825" max="13825" width="13.7109375" customWidth="1"/>
    <col min="13826" max="13826" width="35" customWidth="1"/>
    <col min="13827" max="13827" width="15.140625" customWidth="1"/>
    <col min="13828" max="13828" width="10.85546875" bestFit="1" customWidth="1"/>
    <col min="13829" max="13829" width="11.42578125" customWidth="1"/>
    <col min="13830" max="13830" width="16.140625" bestFit="1" customWidth="1"/>
    <col min="13831" max="13831" width="9.85546875" customWidth="1"/>
    <col min="13841" max="13841" width="13.7109375" customWidth="1"/>
    <col min="13842" max="13842" width="15.5703125" customWidth="1"/>
    <col min="13843" max="13843" width="14.42578125" bestFit="1" customWidth="1"/>
    <col min="13844" max="13844" width="10.85546875" bestFit="1" customWidth="1"/>
    <col min="13845" max="13845" width="10.42578125" customWidth="1"/>
    <col min="13846" max="13846" width="16.140625" bestFit="1" customWidth="1"/>
    <col min="13847" max="13847" width="12.7109375" customWidth="1"/>
    <col min="14081" max="14081" width="13.7109375" customWidth="1"/>
    <col min="14082" max="14082" width="35" customWidth="1"/>
    <col min="14083" max="14083" width="15.140625" customWidth="1"/>
    <col min="14084" max="14084" width="10.85546875" bestFit="1" customWidth="1"/>
    <col min="14085" max="14085" width="11.42578125" customWidth="1"/>
    <col min="14086" max="14086" width="16.140625" bestFit="1" customWidth="1"/>
    <col min="14087" max="14087" width="9.85546875" customWidth="1"/>
    <col min="14097" max="14097" width="13.7109375" customWidth="1"/>
    <col min="14098" max="14098" width="15.5703125" customWidth="1"/>
    <col min="14099" max="14099" width="14.42578125" bestFit="1" customWidth="1"/>
    <col min="14100" max="14100" width="10.85546875" bestFit="1" customWidth="1"/>
    <col min="14101" max="14101" width="10.42578125" customWidth="1"/>
    <col min="14102" max="14102" width="16.140625" bestFit="1" customWidth="1"/>
    <col min="14103" max="14103" width="12.7109375" customWidth="1"/>
    <col min="14337" max="14337" width="13.7109375" customWidth="1"/>
    <col min="14338" max="14338" width="35" customWidth="1"/>
    <col min="14339" max="14339" width="15.140625" customWidth="1"/>
    <col min="14340" max="14340" width="10.85546875" bestFit="1" customWidth="1"/>
    <col min="14341" max="14341" width="11.42578125" customWidth="1"/>
    <col min="14342" max="14342" width="16.140625" bestFit="1" customWidth="1"/>
    <col min="14343" max="14343" width="9.85546875" customWidth="1"/>
    <col min="14353" max="14353" width="13.7109375" customWidth="1"/>
    <col min="14354" max="14354" width="15.5703125" customWidth="1"/>
    <col min="14355" max="14355" width="14.42578125" bestFit="1" customWidth="1"/>
    <col min="14356" max="14356" width="10.85546875" bestFit="1" customWidth="1"/>
    <col min="14357" max="14357" width="10.42578125" customWidth="1"/>
    <col min="14358" max="14358" width="16.140625" bestFit="1" customWidth="1"/>
    <col min="14359" max="14359" width="12.7109375" customWidth="1"/>
    <col min="14593" max="14593" width="13.7109375" customWidth="1"/>
    <col min="14594" max="14594" width="35" customWidth="1"/>
    <col min="14595" max="14595" width="15.140625" customWidth="1"/>
    <col min="14596" max="14596" width="10.85546875" bestFit="1" customWidth="1"/>
    <col min="14597" max="14597" width="11.42578125" customWidth="1"/>
    <col min="14598" max="14598" width="16.140625" bestFit="1" customWidth="1"/>
    <col min="14599" max="14599" width="9.85546875" customWidth="1"/>
    <col min="14609" max="14609" width="13.7109375" customWidth="1"/>
    <col min="14610" max="14610" width="15.5703125" customWidth="1"/>
    <col min="14611" max="14611" width="14.42578125" bestFit="1" customWidth="1"/>
    <col min="14612" max="14612" width="10.85546875" bestFit="1" customWidth="1"/>
    <col min="14613" max="14613" width="10.42578125" customWidth="1"/>
    <col min="14614" max="14614" width="16.140625" bestFit="1" customWidth="1"/>
    <col min="14615" max="14615" width="12.7109375" customWidth="1"/>
    <col min="14849" max="14849" width="13.7109375" customWidth="1"/>
    <col min="14850" max="14850" width="35" customWidth="1"/>
    <col min="14851" max="14851" width="15.140625" customWidth="1"/>
    <col min="14852" max="14852" width="10.85546875" bestFit="1" customWidth="1"/>
    <col min="14853" max="14853" width="11.42578125" customWidth="1"/>
    <col min="14854" max="14854" width="16.140625" bestFit="1" customWidth="1"/>
    <col min="14855" max="14855" width="9.85546875" customWidth="1"/>
    <col min="14865" max="14865" width="13.7109375" customWidth="1"/>
    <col min="14866" max="14866" width="15.5703125" customWidth="1"/>
    <col min="14867" max="14867" width="14.42578125" bestFit="1" customWidth="1"/>
    <col min="14868" max="14868" width="10.85546875" bestFit="1" customWidth="1"/>
    <col min="14869" max="14869" width="10.42578125" customWidth="1"/>
    <col min="14870" max="14870" width="16.140625" bestFit="1" customWidth="1"/>
    <col min="14871" max="14871" width="12.7109375" customWidth="1"/>
    <col min="15105" max="15105" width="13.7109375" customWidth="1"/>
    <col min="15106" max="15106" width="35" customWidth="1"/>
    <col min="15107" max="15107" width="15.140625" customWidth="1"/>
    <col min="15108" max="15108" width="10.85546875" bestFit="1" customWidth="1"/>
    <col min="15109" max="15109" width="11.42578125" customWidth="1"/>
    <col min="15110" max="15110" width="16.140625" bestFit="1" customWidth="1"/>
    <col min="15111" max="15111" width="9.85546875" customWidth="1"/>
    <col min="15121" max="15121" width="13.7109375" customWidth="1"/>
    <col min="15122" max="15122" width="15.5703125" customWidth="1"/>
    <col min="15123" max="15123" width="14.42578125" bestFit="1" customWidth="1"/>
    <col min="15124" max="15124" width="10.85546875" bestFit="1" customWidth="1"/>
    <col min="15125" max="15125" width="10.42578125" customWidth="1"/>
    <col min="15126" max="15126" width="16.140625" bestFit="1" customWidth="1"/>
    <col min="15127" max="15127" width="12.7109375" customWidth="1"/>
    <col min="15361" max="15361" width="13.7109375" customWidth="1"/>
    <col min="15362" max="15362" width="35" customWidth="1"/>
    <col min="15363" max="15363" width="15.140625" customWidth="1"/>
    <col min="15364" max="15364" width="10.85546875" bestFit="1" customWidth="1"/>
    <col min="15365" max="15365" width="11.42578125" customWidth="1"/>
    <col min="15366" max="15366" width="16.140625" bestFit="1" customWidth="1"/>
    <col min="15367" max="15367" width="9.85546875" customWidth="1"/>
    <col min="15377" max="15377" width="13.7109375" customWidth="1"/>
    <col min="15378" max="15378" width="15.5703125" customWidth="1"/>
    <col min="15379" max="15379" width="14.42578125" bestFit="1" customWidth="1"/>
    <col min="15380" max="15380" width="10.85546875" bestFit="1" customWidth="1"/>
    <col min="15381" max="15381" width="10.42578125" customWidth="1"/>
    <col min="15382" max="15382" width="16.140625" bestFit="1" customWidth="1"/>
    <col min="15383" max="15383" width="12.7109375" customWidth="1"/>
    <col min="15617" max="15617" width="13.7109375" customWidth="1"/>
    <col min="15618" max="15618" width="35" customWidth="1"/>
    <col min="15619" max="15619" width="15.140625" customWidth="1"/>
    <col min="15620" max="15620" width="10.85546875" bestFit="1" customWidth="1"/>
    <col min="15621" max="15621" width="11.42578125" customWidth="1"/>
    <col min="15622" max="15622" width="16.140625" bestFit="1" customWidth="1"/>
    <col min="15623" max="15623" width="9.85546875" customWidth="1"/>
    <col min="15633" max="15633" width="13.7109375" customWidth="1"/>
    <col min="15634" max="15634" width="15.5703125" customWidth="1"/>
    <col min="15635" max="15635" width="14.42578125" bestFit="1" customWidth="1"/>
    <col min="15636" max="15636" width="10.85546875" bestFit="1" customWidth="1"/>
    <col min="15637" max="15637" width="10.42578125" customWidth="1"/>
    <col min="15638" max="15638" width="16.140625" bestFit="1" customWidth="1"/>
    <col min="15639" max="15639" width="12.7109375" customWidth="1"/>
    <col min="15873" max="15873" width="13.7109375" customWidth="1"/>
    <col min="15874" max="15874" width="35" customWidth="1"/>
    <col min="15875" max="15875" width="15.140625" customWidth="1"/>
    <col min="15876" max="15876" width="10.85546875" bestFit="1" customWidth="1"/>
    <col min="15877" max="15877" width="11.42578125" customWidth="1"/>
    <col min="15878" max="15878" width="16.140625" bestFit="1" customWidth="1"/>
    <col min="15879" max="15879" width="9.85546875" customWidth="1"/>
    <col min="15889" max="15889" width="13.7109375" customWidth="1"/>
    <col min="15890" max="15890" width="15.5703125" customWidth="1"/>
    <col min="15891" max="15891" width="14.42578125" bestFit="1" customWidth="1"/>
    <col min="15892" max="15892" width="10.85546875" bestFit="1" customWidth="1"/>
    <col min="15893" max="15893" width="10.42578125" customWidth="1"/>
    <col min="15894" max="15894" width="16.140625" bestFit="1" customWidth="1"/>
    <col min="15895" max="15895" width="12.7109375" customWidth="1"/>
    <col min="16129" max="16129" width="13.7109375" customWidth="1"/>
    <col min="16130" max="16130" width="35" customWidth="1"/>
    <col min="16131" max="16131" width="15.140625" customWidth="1"/>
    <col min="16132" max="16132" width="10.85546875" bestFit="1" customWidth="1"/>
    <col min="16133" max="16133" width="11.42578125" customWidth="1"/>
    <col min="16134" max="16134" width="16.140625" bestFit="1" customWidth="1"/>
    <col min="16135" max="16135" width="9.85546875" customWidth="1"/>
    <col min="16145" max="16145" width="13.7109375" customWidth="1"/>
    <col min="16146" max="16146" width="15.5703125" customWidth="1"/>
    <col min="16147" max="16147" width="14.42578125" bestFit="1" customWidth="1"/>
    <col min="16148" max="16148" width="10.85546875" bestFit="1" customWidth="1"/>
    <col min="16149" max="16149" width="10.42578125" customWidth="1"/>
    <col min="16150" max="16150" width="16.140625" bestFit="1" customWidth="1"/>
    <col min="16151" max="16151" width="12.7109375" customWidth="1"/>
  </cols>
  <sheetData>
    <row r="1" spans="1:8" ht="20.100000000000001" customHeight="1">
      <c r="A1" s="774" t="s">
        <v>474</v>
      </c>
      <c r="B1" s="775"/>
      <c r="C1" s="775"/>
      <c r="D1" s="775"/>
      <c r="E1" s="775"/>
      <c r="F1" s="775"/>
      <c r="G1" s="776"/>
    </row>
    <row r="2" spans="1:8" ht="20.100000000000001" customHeight="1" thickBot="1">
      <c r="A2" s="926"/>
      <c r="B2" s="927"/>
      <c r="C2" s="927"/>
      <c r="D2" s="927"/>
      <c r="E2" s="927"/>
      <c r="F2" s="927"/>
      <c r="G2" s="928"/>
    </row>
    <row r="3" spans="1:8">
      <c r="A3" s="929" t="s">
        <v>109</v>
      </c>
      <c r="B3" s="930"/>
      <c r="C3" s="931" t="s">
        <v>110</v>
      </c>
      <c r="D3" s="931" t="s">
        <v>219</v>
      </c>
      <c r="E3" s="932" t="s">
        <v>111</v>
      </c>
      <c r="F3" s="933" t="s">
        <v>112</v>
      </c>
      <c r="G3" s="934"/>
    </row>
    <row r="4" spans="1:8" ht="13.5" thickBot="1">
      <c r="A4" s="935"/>
      <c r="B4" s="936"/>
      <c r="C4" s="937" t="s">
        <v>113</v>
      </c>
      <c r="D4" s="937" t="s">
        <v>113</v>
      </c>
      <c r="E4" s="937" t="s">
        <v>114</v>
      </c>
      <c r="F4" s="938"/>
      <c r="G4" s="939"/>
    </row>
    <row r="5" spans="1:8" ht="13.5" thickBot="1">
      <c r="A5" s="940" t="s">
        <v>475</v>
      </c>
      <c r="B5" s="941"/>
      <c r="C5" s="941"/>
      <c r="D5" s="941"/>
      <c r="E5" s="941"/>
      <c r="F5" s="941"/>
      <c r="G5" s="942"/>
      <c r="H5" s="310"/>
    </row>
    <row r="6" spans="1:8">
      <c r="A6" s="943" t="s">
        <v>220</v>
      </c>
      <c r="B6" s="944"/>
      <c r="C6" s="944"/>
      <c r="D6" s="944"/>
      <c r="E6" s="944"/>
      <c r="F6" s="944"/>
      <c r="G6" s="945"/>
      <c r="H6" s="310"/>
    </row>
    <row r="7" spans="1:8">
      <c r="A7" s="347" t="s">
        <v>221</v>
      </c>
      <c r="B7" s="348"/>
      <c r="C7" s="349">
        <f>75.9174+68.6665+77.4807+63.1886+77.067+69.7678+81.6506+74.3903+87.6421+80.4617</f>
        <v>756.23269999999991</v>
      </c>
      <c r="D7" s="350">
        <v>0.1</v>
      </c>
      <c r="E7" s="350">
        <f>D7*C7</f>
        <v>75.623269999999991</v>
      </c>
      <c r="F7" s="438" t="s">
        <v>116</v>
      </c>
      <c r="G7" s="351" t="s">
        <v>194</v>
      </c>
      <c r="H7" s="310"/>
    </row>
    <row r="8" spans="1:8">
      <c r="A8" s="782"/>
      <c r="B8" s="783"/>
      <c r="C8" s="352"/>
      <c r="D8" s="350"/>
      <c r="E8" s="350"/>
      <c r="F8" s="438"/>
      <c r="G8" s="439"/>
      <c r="H8" s="310"/>
    </row>
    <row r="9" spans="1:8">
      <c r="A9" s="777" t="s">
        <v>222</v>
      </c>
      <c r="B9" s="778"/>
      <c r="C9" s="778"/>
      <c r="D9" s="778"/>
      <c r="E9" s="778"/>
      <c r="F9" s="778"/>
      <c r="G9" s="779"/>
      <c r="H9" s="310"/>
    </row>
    <row r="10" spans="1:8">
      <c r="A10" s="780" t="s">
        <v>223</v>
      </c>
      <c r="B10" s="781"/>
      <c r="C10" s="350">
        <v>325.32679999999999</v>
      </c>
      <c r="D10" s="350">
        <v>0.1</v>
      </c>
      <c r="E10" s="350">
        <f>((C10*2)/6)*D10</f>
        <v>10.844226666666668</v>
      </c>
      <c r="F10" s="438" t="s">
        <v>115</v>
      </c>
      <c r="G10" s="351" t="s">
        <v>194</v>
      </c>
      <c r="H10" s="310"/>
    </row>
    <row r="11" spans="1:8">
      <c r="A11" s="784" t="s">
        <v>224</v>
      </c>
      <c r="B11" s="785"/>
      <c r="C11" s="350">
        <v>30</v>
      </c>
      <c r="D11" s="350">
        <v>0.1</v>
      </c>
      <c r="E11" s="350">
        <f>D11*C11</f>
        <v>3</v>
      </c>
      <c r="F11" s="438" t="s">
        <v>116</v>
      </c>
      <c r="G11" s="351" t="s">
        <v>194</v>
      </c>
      <c r="H11" s="310"/>
    </row>
    <row r="12" spans="1:8">
      <c r="A12" s="433"/>
      <c r="B12" s="356"/>
      <c r="C12" s="357"/>
      <c r="D12" s="357"/>
      <c r="E12" s="357"/>
      <c r="F12" s="437"/>
      <c r="G12" s="358"/>
      <c r="H12" s="310"/>
    </row>
    <row r="13" spans="1:8">
      <c r="A13" s="777" t="s">
        <v>245</v>
      </c>
      <c r="B13" s="778"/>
      <c r="C13" s="778"/>
      <c r="D13" s="778"/>
      <c r="E13" s="778"/>
      <c r="F13" s="778"/>
      <c r="G13" s="779"/>
      <c r="H13" s="310"/>
    </row>
    <row r="14" spans="1:8">
      <c r="A14" s="786" t="s">
        <v>476</v>
      </c>
      <c r="B14" s="787"/>
      <c r="C14" s="353" t="s">
        <v>194</v>
      </c>
      <c r="D14" s="353" t="s">
        <v>194</v>
      </c>
      <c r="E14" s="354">
        <f>3.89*7</f>
        <v>27.23</v>
      </c>
      <c r="F14" s="355" t="s">
        <v>226</v>
      </c>
      <c r="G14" s="351" t="s">
        <v>194</v>
      </c>
      <c r="H14" s="310"/>
    </row>
    <row r="15" spans="1:8">
      <c r="A15" s="784" t="s">
        <v>477</v>
      </c>
      <c r="B15" s="785"/>
      <c r="C15" s="350">
        <v>3.5</v>
      </c>
      <c r="D15" s="350">
        <v>0.4</v>
      </c>
      <c r="E15" s="350">
        <f t="shared" ref="E15:E21" si="0">D15*C15</f>
        <v>1.4000000000000001</v>
      </c>
      <c r="F15" s="438" t="s">
        <v>227</v>
      </c>
      <c r="G15" s="351" t="s">
        <v>194</v>
      </c>
      <c r="H15" s="310"/>
    </row>
    <row r="16" spans="1:8">
      <c r="A16" s="784" t="s">
        <v>478</v>
      </c>
      <c r="B16" s="785"/>
      <c r="C16" s="350">
        <v>3.5</v>
      </c>
      <c r="D16" s="350">
        <v>0.4</v>
      </c>
      <c r="E16" s="350">
        <f t="shared" si="0"/>
        <v>1.4000000000000001</v>
      </c>
      <c r="F16" s="438" t="s">
        <v>227</v>
      </c>
      <c r="G16" s="351" t="s">
        <v>194</v>
      </c>
      <c r="H16" s="310"/>
    </row>
    <row r="17" spans="1:8">
      <c r="A17" s="784" t="s">
        <v>479</v>
      </c>
      <c r="B17" s="785"/>
      <c r="C17" s="350">
        <v>3.5</v>
      </c>
      <c r="D17" s="350">
        <v>0.4</v>
      </c>
      <c r="E17" s="350">
        <f t="shared" si="0"/>
        <v>1.4000000000000001</v>
      </c>
      <c r="F17" s="438" t="s">
        <v>227</v>
      </c>
      <c r="G17" s="351" t="s">
        <v>194</v>
      </c>
      <c r="H17" s="310"/>
    </row>
    <row r="18" spans="1:8">
      <c r="A18" s="433" t="s">
        <v>480</v>
      </c>
      <c r="B18" s="434"/>
      <c r="C18" s="350">
        <v>3.5</v>
      </c>
      <c r="D18" s="350">
        <v>0.4</v>
      </c>
      <c r="E18" s="350">
        <f t="shared" si="0"/>
        <v>1.4000000000000001</v>
      </c>
      <c r="F18" s="438" t="s">
        <v>227</v>
      </c>
      <c r="G18" s="351" t="s">
        <v>194</v>
      </c>
      <c r="H18" s="310"/>
    </row>
    <row r="19" spans="1:8">
      <c r="A19" s="433" t="s">
        <v>481</v>
      </c>
      <c r="B19" s="434"/>
      <c r="C19" s="350">
        <v>3.5</v>
      </c>
      <c r="D19" s="350">
        <v>0.4</v>
      </c>
      <c r="E19" s="350">
        <f t="shared" si="0"/>
        <v>1.4000000000000001</v>
      </c>
      <c r="F19" s="438" t="s">
        <v>227</v>
      </c>
      <c r="G19" s="351" t="s">
        <v>194</v>
      </c>
      <c r="H19" s="310"/>
    </row>
    <row r="20" spans="1:8">
      <c r="A20" s="784" t="s">
        <v>482</v>
      </c>
      <c r="B20" s="785"/>
      <c r="C20" s="350">
        <v>3.5</v>
      </c>
      <c r="D20" s="350">
        <v>0.4</v>
      </c>
      <c r="E20" s="350">
        <f t="shared" si="0"/>
        <v>1.4000000000000001</v>
      </c>
      <c r="F20" s="438" t="s">
        <v>227</v>
      </c>
      <c r="G20" s="351" t="s">
        <v>194</v>
      </c>
      <c r="H20" s="310"/>
    </row>
    <row r="21" spans="1:8">
      <c r="A21" s="784" t="s">
        <v>483</v>
      </c>
      <c r="B21" s="785"/>
      <c r="C21" s="350">
        <v>3.5</v>
      </c>
      <c r="D21" s="350">
        <v>0.4</v>
      </c>
      <c r="E21" s="350">
        <f t="shared" si="0"/>
        <v>1.4000000000000001</v>
      </c>
      <c r="F21" s="438" t="s">
        <v>227</v>
      </c>
      <c r="G21" s="351" t="s">
        <v>194</v>
      </c>
      <c r="H21" s="310"/>
    </row>
    <row r="22" spans="1:8" ht="13.5" thickBot="1">
      <c r="A22" s="946"/>
      <c r="B22" s="947"/>
      <c r="C22" s="947"/>
      <c r="D22" s="947"/>
      <c r="E22" s="947"/>
      <c r="F22" s="947"/>
      <c r="G22" s="948"/>
      <c r="H22" s="310"/>
    </row>
    <row r="23" spans="1:8" ht="13.5" thickBot="1">
      <c r="A23" s="940" t="s">
        <v>484</v>
      </c>
      <c r="B23" s="941"/>
      <c r="C23" s="941"/>
      <c r="D23" s="941"/>
      <c r="E23" s="941"/>
      <c r="F23" s="941"/>
      <c r="G23" s="942"/>
      <c r="H23" s="310"/>
    </row>
    <row r="24" spans="1:8">
      <c r="A24" s="943" t="s">
        <v>220</v>
      </c>
      <c r="B24" s="944"/>
      <c r="C24" s="944"/>
      <c r="D24" s="944"/>
      <c r="E24" s="944"/>
      <c r="F24" s="944"/>
      <c r="G24" s="945"/>
      <c r="H24" s="310"/>
    </row>
    <row r="25" spans="1:8">
      <c r="A25" s="347" t="s">
        <v>221</v>
      </c>
      <c r="B25" s="348"/>
      <c r="C25" s="350">
        <f>125.2172+125.125</f>
        <v>250.34219999999999</v>
      </c>
      <c r="D25" s="350">
        <v>0.1</v>
      </c>
      <c r="E25" s="350">
        <f>D25*C25</f>
        <v>25.034220000000001</v>
      </c>
      <c r="F25" s="438" t="s">
        <v>116</v>
      </c>
      <c r="G25" s="351" t="s">
        <v>194</v>
      </c>
      <c r="H25" s="310"/>
    </row>
    <row r="26" spans="1:8">
      <c r="A26" s="782"/>
      <c r="B26" s="783"/>
      <c r="C26" s="352"/>
      <c r="D26" s="350"/>
      <c r="E26" s="350"/>
      <c r="F26" s="438"/>
      <c r="G26" s="439"/>
      <c r="H26" s="310"/>
    </row>
    <row r="27" spans="1:8">
      <c r="A27" s="777" t="s">
        <v>222</v>
      </c>
      <c r="B27" s="778"/>
      <c r="C27" s="778"/>
      <c r="D27" s="778"/>
      <c r="E27" s="778"/>
      <c r="F27" s="778"/>
      <c r="G27" s="779"/>
      <c r="H27" s="310"/>
    </row>
    <row r="28" spans="1:8">
      <c r="A28" s="780" t="s">
        <v>223</v>
      </c>
      <c r="B28" s="781"/>
      <c r="C28" s="350">
        <v>79.126300000000001</v>
      </c>
      <c r="D28" s="350">
        <v>0.1</v>
      </c>
      <c r="E28" s="350">
        <f>((C28*2)/6)*D28</f>
        <v>2.6375433333333334</v>
      </c>
      <c r="F28" s="438" t="s">
        <v>115</v>
      </c>
      <c r="G28" s="351" t="s">
        <v>194</v>
      </c>
      <c r="H28" s="310"/>
    </row>
    <row r="29" spans="1:8">
      <c r="A29" s="784" t="s">
        <v>224</v>
      </c>
      <c r="B29" s="785"/>
      <c r="C29" s="350">
        <v>30</v>
      </c>
      <c r="D29" s="350">
        <v>0.1</v>
      </c>
      <c r="E29" s="350">
        <f>D29*C29</f>
        <v>3</v>
      </c>
      <c r="F29" s="438" t="s">
        <v>116</v>
      </c>
      <c r="G29" s="351" t="s">
        <v>194</v>
      </c>
      <c r="H29" s="310"/>
    </row>
    <row r="30" spans="1:8">
      <c r="A30" s="433"/>
      <c r="B30" s="434"/>
      <c r="C30" s="350"/>
      <c r="D30" s="350"/>
      <c r="E30" s="350"/>
      <c r="F30" s="438"/>
      <c r="G30" s="351"/>
      <c r="H30" s="310"/>
    </row>
    <row r="31" spans="1:8">
      <c r="A31" s="777" t="s">
        <v>245</v>
      </c>
      <c r="B31" s="778"/>
      <c r="C31" s="778"/>
      <c r="D31" s="778"/>
      <c r="E31" s="778"/>
      <c r="F31" s="778"/>
      <c r="G31" s="779"/>
      <c r="H31" s="310"/>
    </row>
    <row r="32" spans="1:8">
      <c r="A32" s="786" t="s">
        <v>225</v>
      </c>
      <c r="B32" s="787"/>
      <c r="C32" s="353" t="s">
        <v>194</v>
      </c>
      <c r="D32" s="353" t="s">
        <v>194</v>
      </c>
      <c r="E32" s="354">
        <f>3.89*2</f>
        <v>7.78</v>
      </c>
      <c r="F32" s="355" t="s">
        <v>226</v>
      </c>
      <c r="G32" s="351" t="s">
        <v>194</v>
      </c>
      <c r="H32" s="310"/>
    </row>
    <row r="33" spans="1:8">
      <c r="A33" s="435" t="s">
        <v>485</v>
      </c>
      <c r="B33" s="436"/>
      <c r="C33" s="350">
        <v>3.5</v>
      </c>
      <c r="D33" s="350">
        <v>0.4</v>
      </c>
      <c r="E33" s="350">
        <f>D33*C33</f>
        <v>1.4000000000000001</v>
      </c>
      <c r="F33" s="438" t="s">
        <v>227</v>
      </c>
      <c r="G33" s="351" t="s">
        <v>194</v>
      </c>
      <c r="H33" s="310"/>
    </row>
    <row r="34" spans="1:8">
      <c r="A34" s="784" t="s">
        <v>486</v>
      </c>
      <c r="B34" s="785"/>
      <c r="C34" s="350">
        <v>3.5</v>
      </c>
      <c r="D34" s="350">
        <v>0.4</v>
      </c>
      <c r="E34" s="350">
        <f>D34*C34</f>
        <v>1.4000000000000001</v>
      </c>
      <c r="F34" s="438" t="s">
        <v>227</v>
      </c>
      <c r="G34" s="351" t="s">
        <v>194</v>
      </c>
      <c r="H34" s="310"/>
    </row>
    <row r="35" spans="1:8" ht="13.5" thickBot="1">
      <c r="A35" s="782"/>
      <c r="B35" s="788"/>
      <c r="C35" s="788"/>
      <c r="D35" s="788"/>
      <c r="E35" s="788"/>
      <c r="F35" s="788"/>
      <c r="G35" s="789"/>
      <c r="H35" s="310"/>
    </row>
    <row r="36" spans="1:8" ht="13.5" thickBot="1">
      <c r="A36" s="940" t="s">
        <v>487</v>
      </c>
      <c r="B36" s="941"/>
      <c r="C36" s="941"/>
      <c r="D36" s="941"/>
      <c r="E36" s="941"/>
      <c r="F36" s="941"/>
      <c r="G36" s="942"/>
      <c r="H36" s="310"/>
    </row>
    <row r="37" spans="1:8">
      <c r="A37" s="777" t="s">
        <v>220</v>
      </c>
      <c r="B37" s="778"/>
      <c r="C37" s="778"/>
      <c r="D37" s="778"/>
      <c r="E37" s="778"/>
      <c r="F37" s="778"/>
      <c r="G37" s="779"/>
      <c r="H37" s="310"/>
    </row>
    <row r="38" spans="1:8">
      <c r="A38" s="347" t="s">
        <v>221</v>
      </c>
      <c r="B38" s="348"/>
      <c r="C38" s="350">
        <f>125.3252+125.297</f>
        <v>250.62219999999999</v>
      </c>
      <c r="D38" s="350">
        <v>0.1</v>
      </c>
      <c r="E38" s="350">
        <f>D38*C38</f>
        <v>25.06222</v>
      </c>
      <c r="F38" s="438" t="s">
        <v>116</v>
      </c>
      <c r="G38" s="351" t="s">
        <v>194</v>
      </c>
      <c r="H38" s="310"/>
    </row>
    <row r="39" spans="1:8">
      <c r="A39" s="782"/>
      <c r="B39" s="783"/>
      <c r="C39" s="352"/>
      <c r="D39" s="350"/>
      <c r="E39" s="350"/>
      <c r="F39" s="438"/>
      <c r="G39" s="439"/>
      <c r="H39" s="310"/>
    </row>
    <row r="40" spans="1:8">
      <c r="A40" s="777" t="s">
        <v>222</v>
      </c>
      <c r="B40" s="778"/>
      <c r="C40" s="778"/>
      <c r="D40" s="778"/>
      <c r="E40" s="778"/>
      <c r="F40" s="778"/>
      <c r="G40" s="779"/>
      <c r="H40" s="310"/>
    </row>
    <row r="41" spans="1:8">
      <c r="A41" s="780" t="s">
        <v>223</v>
      </c>
      <c r="B41" s="781"/>
      <c r="C41" s="350">
        <v>79.391900000000007</v>
      </c>
      <c r="D41" s="350">
        <v>0.1</v>
      </c>
      <c r="E41" s="350">
        <f>((C41*2)/6)*D41</f>
        <v>2.646396666666667</v>
      </c>
      <c r="F41" s="438" t="s">
        <v>115</v>
      </c>
      <c r="G41" s="351" t="s">
        <v>194</v>
      </c>
      <c r="H41" s="310"/>
    </row>
    <row r="42" spans="1:8">
      <c r="A42" s="784" t="s">
        <v>224</v>
      </c>
      <c r="B42" s="785"/>
      <c r="C42" s="350">
        <v>30</v>
      </c>
      <c r="D42" s="350">
        <v>0.1</v>
      </c>
      <c r="E42" s="350">
        <f>D42*C42</f>
        <v>3</v>
      </c>
      <c r="F42" s="438" t="s">
        <v>116</v>
      </c>
      <c r="G42" s="351" t="s">
        <v>194</v>
      </c>
      <c r="H42" s="310"/>
    </row>
    <row r="43" spans="1:8">
      <c r="A43" s="433"/>
      <c r="B43" s="434"/>
      <c r="C43" s="350"/>
      <c r="D43" s="350"/>
      <c r="E43" s="350"/>
      <c r="F43" s="438"/>
      <c r="G43" s="351"/>
      <c r="H43" s="310"/>
    </row>
    <row r="44" spans="1:8">
      <c r="A44" s="777" t="s">
        <v>245</v>
      </c>
      <c r="B44" s="778"/>
      <c r="C44" s="778"/>
      <c r="D44" s="778"/>
      <c r="E44" s="778"/>
      <c r="F44" s="778"/>
      <c r="G44" s="779"/>
      <c r="H44" s="310"/>
    </row>
    <row r="45" spans="1:8">
      <c r="A45" s="786" t="s">
        <v>225</v>
      </c>
      <c r="B45" s="787"/>
      <c r="C45" s="353" t="s">
        <v>194</v>
      </c>
      <c r="D45" s="353" t="s">
        <v>194</v>
      </c>
      <c r="E45" s="354">
        <f>3.89*2</f>
        <v>7.78</v>
      </c>
      <c r="F45" s="355" t="s">
        <v>226</v>
      </c>
      <c r="G45" s="351" t="s">
        <v>194</v>
      </c>
      <c r="H45" s="310"/>
    </row>
    <row r="46" spans="1:8">
      <c r="A46" s="784" t="s">
        <v>485</v>
      </c>
      <c r="B46" s="785"/>
      <c r="C46" s="350">
        <v>3.5</v>
      </c>
      <c r="D46" s="350">
        <v>0.4</v>
      </c>
      <c r="E46" s="350">
        <f>D46*C46</f>
        <v>1.4000000000000001</v>
      </c>
      <c r="F46" s="438" t="s">
        <v>227</v>
      </c>
      <c r="G46" s="351" t="s">
        <v>194</v>
      </c>
      <c r="H46" s="310"/>
    </row>
    <row r="47" spans="1:8">
      <c r="A47" s="784" t="s">
        <v>488</v>
      </c>
      <c r="B47" s="785"/>
      <c r="C47" s="350">
        <v>3.5</v>
      </c>
      <c r="D47" s="350">
        <v>0.4</v>
      </c>
      <c r="E47" s="350">
        <f>D47*C47</f>
        <v>1.4000000000000001</v>
      </c>
      <c r="F47" s="438" t="s">
        <v>227</v>
      </c>
      <c r="G47" s="351" t="s">
        <v>194</v>
      </c>
      <c r="H47" s="310"/>
    </row>
    <row r="48" spans="1:8" ht="13.5" thickBot="1">
      <c r="A48" s="782"/>
      <c r="B48" s="788"/>
      <c r="C48" s="788"/>
      <c r="D48" s="788"/>
      <c r="E48" s="788"/>
      <c r="F48" s="788"/>
      <c r="G48" s="789"/>
      <c r="H48" s="310"/>
    </row>
    <row r="49" spans="1:8" ht="13.5" thickBot="1">
      <c r="A49" s="940" t="s">
        <v>489</v>
      </c>
      <c r="B49" s="941"/>
      <c r="C49" s="941"/>
      <c r="D49" s="941"/>
      <c r="E49" s="941"/>
      <c r="F49" s="941"/>
      <c r="G49" s="942"/>
      <c r="H49" s="310"/>
    </row>
    <row r="50" spans="1:8">
      <c r="A50" s="777" t="s">
        <v>220</v>
      </c>
      <c r="B50" s="778"/>
      <c r="C50" s="778"/>
      <c r="D50" s="778"/>
      <c r="E50" s="778"/>
      <c r="F50" s="778"/>
      <c r="G50" s="779"/>
      <c r="H50" s="310"/>
    </row>
    <row r="51" spans="1:8">
      <c r="A51" s="347" t="s">
        <v>221</v>
      </c>
      <c r="B51" s="348"/>
      <c r="C51" s="349">
        <f>126.9608+127.1023</f>
        <v>254.06310000000002</v>
      </c>
      <c r="D51" s="350">
        <v>0.1</v>
      </c>
      <c r="E51" s="350">
        <f>D51*C51</f>
        <v>25.406310000000005</v>
      </c>
      <c r="F51" s="438" t="s">
        <v>116</v>
      </c>
      <c r="G51" s="351" t="s">
        <v>194</v>
      </c>
      <c r="H51" s="310"/>
    </row>
    <row r="52" spans="1:8">
      <c r="A52" s="782"/>
      <c r="B52" s="783"/>
      <c r="C52" s="352"/>
      <c r="D52" s="350"/>
      <c r="E52" s="350"/>
      <c r="F52" s="438"/>
      <c r="G52" s="439"/>
      <c r="H52" s="310"/>
    </row>
    <row r="53" spans="1:8">
      <c r="A53" s="777" t="s">
        <v>222</v>
      </c>
      <c r="B53" s="778"/>
      <c r="C53" s="778"/>
      <c r="D53" s="778"/>
      <c r="E53" s="778"/>
      <c r="F53" s="778"/>
      <c r="G53" s="779"/>
      <c r="H53" s="310"/>
    </row>
    <row r="54" spans="1:8">
      <c r="A54" s="780" t="s">
        <v>460</v>
      </c>
      <c r="B54" s="781"/>
      <c r="C54" s="350">
        <v>80.930199999999999</v>
      </c>
      <c r="D54" s="350">
        <v>0.1</v>
      </c>
      <c r="E54" s="350">
        <f>((C54*2)/6)*D54</f>
        <v>2.6976733333333334</v>
      </c>
      <c r="F54" s="438" t="s">
        <v>115</v>
      </c>
      <c r="G54" s="351" t="s">
        <v>194</v>
      </c>
      <c r="H54" s="310"/>
    </row>
    <row r="55" spans="1:8">
      <c r="A55" s="784" t="s">
        <v>224</v>
      </c>
      <c r="B55" s="785"/>
      <c r="C55" s="350">
        <v>30</v>
      </c>
      <c r="D55" s="350">
        <v>0.1</v>
      </c>
      <c r="E55" s="350">
        <f>D55*C55</f>
        <v>3</v>
      </c>
      <c r="F55" s="438" t="s">
        <v>116</v>
      </c>
      <c r="G55" s="351" t="s">
        <v>194</v>
      </c>
      <c r="H55" s="310"/>
    </row>
    <row r="56" spans="1:8">
      <c r="A56" s="433"/>
      <c r="B56" s="434"/>
      <c r="C56" s="350"/>
      <c r="D56" s="350"/>
      <c r="E56" s="350"/>
      <c r="F56" s="438"/>
      <c r="G56" s="351"/>
      <c r="H56" s="310"/>
    </row>
    <row r="57" spans="1:8">
      <c r="A57" s="777" t="s">
        <v>245</v>
      </c>
      <c r="B57" s="778"/>
      <c r="C57" s="778"/>
      <c r="D57" s="778"/>
      <c r="E57" s="778"/>
      <c r="F57" s="778"/>
      <c r="G57" s="779"/>
      <c r="H57" s="310"/>
    </row>
    <row r="58" spans="1:8">
      <c r="A58" s="786" t="s">
        <v>225</v>
      </c>
      <c r="B58" s="787"/>
      <c r="C58" s="353" t="s">
        <v>194</v>
      </c>
      <c r="D58" s="353" t="s">
        <v>194</v>
      </c>
      <c r="E58" s="354">
        <f>3.89*2</f>
        <v>7.78</v>
      </c>
      <c r="F58" s="355" t="s">
        <v>226</v>
      </c>
      <c r="G58" s="351" t="s">
        <v>194</v>
      </c>
      <c r="H58" s="310"/>
    </row>
    <row r="59" spans="1:8">
      <c r="A59" s="784" t="s">
        <v>485</v>
      </c>
      <c r="B59" s="785"/>
      <c r="C59" s="350">
        <v>3.5</v>
      </c>
      <c r="D59" s="350">
        <v>0.4</v>
      </c>
      <c r="E59" s="350">
        <f>D59*C59</f>
        <v>1.4000000000000001</v>
      </c>
      <c r="F59" s="438" t="s">
        <v>227</v>
      </c>
      <c r="G59" s="351" t="s">
        <v>194</v>
      </c>
      <c r="H59" s="310"/>
    </row>
    <row r="60" spans="1:8">
      <c r="A60" s="435" t="s">
        <v>490</v>
      </c>
      <c r="B60" s="436"/>
      <c r="C60" s="350">
        <v>3.5</v>
      </c>
      <c r="D60" s="350">
        <v>0.4</v>
      </c>
      <c r="E60" s="350">
        <f>D60*C60</f>
        <v>1.4000000000000001</v>
      </c>
      <c r="F60" s="438" t="s">
        <v>227</v>
      </c>
      <c r="G60" s="351" t="s">
        <v>194</v>
      </c>
      <c r="H60" s="310"/>
    </row>
    <row r="61" spans="1:8" ht="13.5" thickBot="1">
      <c r="A61" s="433"/>
      <c r="B61" s="356"/>
      <c r="C61" s="357"/>
      <c r="D61" s="357"/>
      <c r="E61" s="357"/>
      <c r="F61" s="437"/>
      <c r="G61" s="358"/>
      <c r="H61" s="310"/>
    </row>
    <row r="62" spans="1:8" ht="13.5" thickBot="1">
      <c r="A62" s="940" t="s">
        <v>491</v>
      </c>
      <c r="B62" s="941"/>
      <c r="C62" s="941"/>
      <c r="D62" s="941"/>
      <c r="E62" s="941"/>
      <c r="F62" s="941"/>
      <c r="G62" s="942"/>
      <c r="H62" s="310"/>
    </row>
    <row r="63" spans="1:8">
      <c r="A63" s="777" t="s">
        <v>220</v>
      </c>
      <c r="B63" s="778"/>
      <c r="C63" s="778"/>
      <c r="D63" s="778"/>
      <c r="E63" s="778"/>
      <c r="F63" s="778"/>
      <c r="G63" s="779"/>
      <c r="H63" s="310"/>
    </row>
    <row r="64" spans="1:8">
      <c r="A64" s="347" t="s">
        <v>221</v>
      </c>
      <c r="B64" s="348"/>
      <c r="C64" s="350">
        <f>74.4083+74.5005</f>
        <v>148.90879999999999</v>
      </c>
      <c r="D64" s="350">
        <v>0.1</v>
      </c>
      <c r="E64" s="350">
        <f>D64*C64</f>
        <v>14.890879999999999</v>
      </c>
      <c r="F64" s="438" t="s">
        <v>116</v>
      </c>
      <c r="G64" s="351" t="s">
        <v>194</v>
      </c>
      <c r="H64" s="310"/>
    </row>
    <row r="65" spans="1:8">
      <c r="A65" s="782"/>
      <c r="B65" s="783"/>
      <c r="C65" s="352"/>
      <c r="D65" s="350"/>
      <c r="E65" s="350"/>
      <c r="F65" s="438"/>
      <c r="G65" s="439"/>
      <c r="H65" s="310"/>
    </row>
    <row r="66" spans="1:8">
      <c r="A66" s="777" t="s">
        <v>222</v>
      </c>
      <c r="B66" s="778"/>
      <c r="C66" s="778"/>
      <c r="D66" s="778"/>
      <c r="E66" s="778"/>
      <c r="F66" s="778"/>
      <c r="G66" s="779"/>
      <c r="H66" s="310"/>
    </row>
    <row r="67" spans="1:8">
      <c r="A67" s="780" t="s">
        <v>223</v>
      </c>
      <c r="B67" s="781"/>
      <c r="C67" s="350">
        <v>49.66</v>
      </c>
      <c r="D67" s="350">
        <v>0.1</v>
      </c>
      <c r="E67" s="350">
        <f>((C67*2)/6)*D67</f>
        <v>1.6553333333333331</v>
      </c>
      <c r="F67" s="438" t="s">
        <v>115</v>
      </c>
      <c r="G67" s="351" t="s">
        <v>194</v>
      </c>
      <c r="H67" s="310"/>
    </row>
    <row r="68" spans="1:8">
      <c r="A68" s="784" t="s">
        <v>224</v>
      </c>
      <c r="B68" s="785"/>
      <c r="C68" s="350">
        <v>15</v>
      </c>
      <c r="D68" s="350">
        <v>0.1</v>
      </c>
      <c r="E68" s="350">
        <f>D68*C68</f>
        <v>1.5</v>
      </c>
      <c r="F68" s="438" t="s">
        <v>116</v>
      </c>
      <c r="G68" s="351" t="s">
        <v>194</v>
      </c>
      <c r="H68" s="310"/>
    </row>
    <row r="69" spans="1:8">
      <c r="A69" s="433"/>
      <c r="B69" s="434"/>
      <c r="C69" s="350"/>
      <c r="D69" s="350"/>
      <c r="E69" s="350"/>
      <c r="F69" s="438"/>
      <c r="G69" s="351"/>
      <c r="H69" s="310"/>
    </row>
    <row r="70" spans="1:8">
      <c r="A70" s="777" t="s">
        <v>245</v>
      </c>
      <c r="B70" s="778"/>
      <c r="C70" s="778"/>
      <c r="D70" s="778"/>
      <c r="E70" s="778"/>
      <c r="F70" s="778"/>
      <c r="G70" s="779"/>
      <c r="H70" s="310"/>
    </row>
    <row r="71" spans="1:8">
      <c r="A71" s="786" t="s">
        <v>456</v>
      </c>
      <c r="B71" s="787"/>
      <c r="C71" s="353" t="s">
        <v>194</v>
      </c>
      <c r="D71" s="353" t="s">
        <v>194</v>
      </c>
      <c r="E71" s="354">
        <f>3.89</f>
        <v>3.89</v>
      </c>
      <c r="F71" s="355" t="s">
        <v>226</v>
      </c>
      <c r="G71" s="351" t="s">
        <v>194</v>
      </c>
      <c r="H71" s="310"/>
    </row>
    <row r="72" spans="1:8">
      <c r="A72" s="435" t="s">
        <v>492</v>
      </c>
      <c r="B72" s="436"/>
      <c r="C72" s="350">
        <v>3.5</v>
      </c>
      <c r="D72" s="350">
        <v>0.4</v>
      </c>
      <c r="E72" s="350">
        <f>D72*C72</f>
        <v>1.4000000000000001</v>
      </c>
      <c r="F72" s="438" t="s">
        <v>227</v>
      </c>
      <c r="G72" s="351" t="s">
        <v>194</v>
      </c>
      <c r="H72" s="310"/>
    </row>
    <row r="73" spans="1:8" ht="13.5" thickBot="1">
      <c r="A73" s="782"/>
      <c r="B73" s="788"/>
      <c r="C73" s="788"/>
      <c r="D73" s="788"/>
      <c r="E73" s="788"/>
      <c r="F73" s="788"/>
      <c r="G73" s="789"/>
      <c r="H73" s="310"/>
    </row>
    <row r="74" spans="1:8" ht="16.5" thickBot="1">
      <c r="A74" s="795" t="s">
        <v>246</v>
      </c>
      <c r="B74" s="796"/>
      <c r="C74" s="796"/>
      <c r="D74" s="796"/>
      <c r="E74" s="796"/>
      <c r="F74" s="796"/>
      <c r="G74" s="797"/>
      <c r="H74" s="310"/>
    </row>
    <row r="75" spans="1:8" s="422" customFormat="1" ht="15" customHeight="1">
      <c r="A75" s="798" t="s">
        <v>247</v>
      </c>
      <c r="B75" s="799"/>
      <c r="C75" s="799"/>
      <c r="D75" s="361" t="s">
        <v>194</v>
      </c>
      <c r="E75" s="362">
        <f>E7+E51+E38+E25+E64</f>
        <v>166.01689999999999</v>
      </c>
      <c r="F75" s="361" t="s">
        <v>194</v>
      </c>
      <c r="G75" s="363" t="s">
        <v>194</v>
      </c>
      <c r="H75" s="310"/>
    </row>
    <row r="76" spans="1:8" s="422" customFormat="1" ht="15" customHeight="1">
      <c r="A76" s="790" t="s">
        <v>248</v>
      </c>
      <c r="B76" s="791"/>
      <c r="C76" s="791"/>
      <c r="D76" s="364" t="s">
        <v>194</v>
      </c>
      <c r="E76" s="365">
        <f>E11+E55+E42+E29+E68</f>
        <v>13.5</v>
      </c>
      <c r="F76" s="364" t="s">
        <v>194</v>
      </c>
      <c r="G76" s="366" t="s">
        <v>194</v>
      </c>
      <c r="H76" s="310"/>
    </row>
    <row r="77" spans="1:8" s="422" customFormat="1" ht="15" customHeight="1">
      <c r="A77" s="790" t="s">
        <v>249</v>
      </c>
      <c r="B77" s="791"/>
      <c r="C77" s="791"/>
      <c r="D77" s="364" t="s">
        <v>194</v>
      </c>
      <c r="E77" s="365">
        <f>E10+E54+E41+E28+E67</f>
        <v>20.481173333333338</v>
      </c>
      <c r="F77" s="364" t="s">
        <v>194</v>
      </c>
      <c r="G77" s="366" t="s">
        <v>194</v>
      </c>
      <c r="H77"/>
    </row>
    <row r="78" spans="1:8" s="422" customFormat="1" ht="15" customHeight="1">
      <c r="A78" s="790" t="s">
        <v>250</v>
      </c>
      <c r="B78" s="791"/>
      <c r="C78" s="791"/>
      <c r="D78" s="364" t="s">
        <v>194</v>
      </c>
      <c r="E78" s="365">
        <f>E59+E33+E72+E60+E46+E47+E34+E15+E16+E17+E18+E19+E20+E21</f>
        <v>19.599999999999998</v>
      </c>
      <c r="F78" s="364" t="s">
        <v>194</v>
      </c>
      <c r="G78" s="366" t="s">
        <v>194</v>
      </c>
      <c r="H78"/>
    </row>
    <row r="79" spans="1:8" s="422" customFormat="1" ht="15" customHeight="1" thickBot="1">
      <c r="A79" s="374" t="s">
        <v>251</v>
      </c>
      <c r="B79" s="367"/>
      <c r="C79" s="368"/>
      <c r="D79" s="375" t="s">
        <v>194</v>
      </c>
      <c r="E79" s="376">
        <f>E58+E45+E32+E71+E14</f>
        <v>54.46</v>
      </c>
      <c r="F79" s="375" t="s">
        <v>194</v>
      </c>
      <c r="G79" s="377" t="s">
        <v>194</v>
      </c>
      <c r="H79"/>
    </row>
    <row r="80" spans="1:8" s="422" customFormat="1" ht="15" customHeight="1">
      <c r="A80" s="792" t="s">
        <v>117</v>
      </c>
      <c r="B80" s="793"/>
      <c r="C80" s="794"/>
      <c r="D80" s="361" t="s">
        <v>194</v>
      </c>
      <c r="E80" s="362">
        <f>E78+E77+E76+E75</f>
        <v>219.59807333333333</v>
      </c>
      <c r="F80" s="361" t="s">
        <v>194</v>
      </c>
      <c r="G80" s="363" t="s">
        <v>194</v>
      </c>
      <c r="H80"/>
    </row>
    <row r="81" spans="1:8" s="422" customFormat="1" ht="15" customHeight="1" thickBot="1">
      <c r="A81" s="383" t="s">
        <v>493</v>
      </c>
      <c r="B81" s="369"/>
      <c r="C81" s="370"/>
      <c r="D81" s="371" t="s">
        <v>194</v>
      </c>
      <c r="E81" s="384">
        <f>E79</f>
        <v>54.46</v>
      </c>
      <c r="F81" s="371" t="s">
        <v>194</v>
      </c>
      <c r="G81" s="373" t="s">
        <v>194</v>
      </c>
      <c r="H81"/>
    </row>
    <row r="82" spans="1:8" s="422" customFormat="1" ht="15" customHeight="1" thickBot="1">
      <c r="A82" s="378" t="s">
        <v>228</v>
      </c>
      <c r="B82" s="379"/>
      <c r="C82" s="380"/>
      <c r="D82" s="381" t="s">
        <v>194</v>
      </c>
      <c r="E82" s="372">
        <f>E81+E80</f>
        <v>274.05807333333331</v>
      </c>
      <c r="F82" s="381" t="s">
        <v>194</v>
      </c>
      <c r="G82" s="382" t="s">
        <v>194</v>
      </c>
      <c r="H82"/>
    </row>
    <row r="84" spans="1:8">
      <c r="F84" s="359"/>
    </row>
    <row r="85" spans="1:8">
      <c r="E85" s="360">
        <f>SUM(E5:E73)</f>
        <v>274.05807333333337</v>
      </c>
      <c r="F85" s="360"/>
    </row>
    <row r="86" spans="1:8">
      <c r="E86" s="360"/>
    </row>
    <row r="87" spans="1:8">
      <c r="E87" s="360"/>
    </row>
    <row r="88" spans="1:8">
      <c r="E88" s="360"/>
    </row>
    <row r="89" spans="1:8">
      <c r="E89" s="359"/>
    </row>
    <row r="91" spans="1:8">
      <c r="E91" s="359"/>
    </row>
  </sheetData>
  <mergeCells count="63">
    <mergeCell ref="A77:C77"/>
    <mergeCell ref="A78:C78"/>
    <mergeCell ref="A80:C80"/>
    <mergeCell ref="A70:G70"/>
    <mergeCell ref="A71:B71"/>
    <mergeCell ref="A73:G73"/>
    <mergeCell ref="A74:G74"/>
    <mergeCell ref="A75:C75"/>
    <mergeCell ref="A76:C76"/>
    <mergeCell ref="A62:G62"/>
    <mergeCell ref="A63:G63"/>
    <mergeCell ref="A65:B65"/>
    <mergeCell ref="A66:G66"/>
    <mergeCell ref="A67:B67"/>
    <mergeCell ref="A68:B68"/>
    <mergeCell ref="A53:G53"/>
    <mergeCell ref="A54:B54"/>
    <mergeCell ref="A55:B55"/>
    <mergeCell ref="A57:G57"/>
    <mergeCell ref="A58:B58"/>
    <mergeCell ref="A59:B59"/>
    <mergeCell ref="A46:B46"/>
    <mergeCell ref="A47:B47"/>
    <mergeCell ref="A48:G48"/>
    <mergeCell ref="A49:G49"/>
    <mergeCell ref="A50:G50"/>
    <mergeCell ref="A52:B52"/>
    <mergeCell ref="A39:B39"/>
    <mergeCell ref="A40:G40"/>
    <mergeCell ref="A41:B41"/>
    <mergeCell ref="A42:B42"/>
    <mergeCell ref="A44:G44"/>
    <mergeCell ref="A45:B45"/>
    <mergeCell ref="A31:G31"/>
    <mergeCell ref="A32:B32"/>
    <mergeCell ref="A34:B34"/>
    <mergeCell ref="A35:G35"/>
    <mergeCell ref="A36:G36"/>
    <mergeCell ref="A37:G37"/>
    <mergeCell ref="A23:G23"/>
    <mergeCell ref="A24:G24"/>
    <mergeCell ref="A26:B26"/>
    <mergeCell ref="A27:G27"/>
    <mergeCell ref="A28:B28"/>
    <mergeCell ref="A29:B29"/>
    <mergeCell ref="A15:B15"/>
    <mergeCell ref="A16:B16"/>
    <mergeCell ref="A17:B17"/>
    <mergeCell ref="A20:B20"/>
    <mergeCell ref="A21:B21"/>
    <mergeCell ref="A22:G22"/>
    <mergeCell ref="A8:B8"/>
    <mergeCell ref="A9:G9"/>
    <mergeCell ref="A10:B10"/>
    <mergeCell ref="A11:B11"/>
    <mergeCell ref="A13:G13"/>
    <mergeCell ref="A14:B14"/>
    <mergeCell ref="A1:G2"/>
    <mergeCell ref="A3:B4"/>
    <mergeCell ref="F3:F4"/>
    <mergeCell ref="G3:G4"/>
    <mergeCell ref="A5:G5"/>
    <mergeCell ref="A6:G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5</vt:i4>
      </vt:variant>
    </vt:vector>
  </HeadingPairs>
  <TitlesOfParts>
    <vt:vector size="17" baseType="lpstr">
      <vt:lpstr>RESUMO</vt:lpstr>
      <vt:lpstr>QUANT</vt:lpstr>
      <vt:lpstr>ORÇA </vt:lpstr>
      <vt:lpstr>TRANSP</vt:lpstr>
      <vt:lpstr>CFF</vt:lpstr>
      <vt:lpstr>TERRAP E PAVIM</vt:lpstr>
      <vt:lpstr>BDI</vt:lpstr>
      <vt:lpstr>BDI DIFERENCIADO</vt:lpstr>
      <vt:lpstr>SN HORIZ</vt:lpstr>
      <vt:lpstr>SN VERT</vt:lpstr>
      <vt:lpstr>COMP.</vt:lpstr>
      <vt:lpstr>REAJUSTAMENTO</vt:lpstr>
      <vt:lpstr>COMP.!Area_de_impressao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Convexa-01</cp:lastModifiedBy>
  <cp:lastPrinted>2022-02-18T19:54:57Z</cp:lastPrinted>
  <dcterms:created xsi:type="dcterms:W3CDTF">1997-03-06T18:55:11Z</dcterms:created>
  <dcterms:modified xsi:type="dcterms:W3CDTF">2022-04-07T17:59:46Z</dcterms:modified>
</cp:coreProperties>
</file>